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120" yWindow="15" windowWidth="4335" windowHeight="3150" activeTab="0"/>
  </bookViews>
  <sheets>
    <sheet name="Mode d'emploi" sheetId="1" r:id="rId1"/>
    <sheet name="Réaction" sheetId="2" r:id="rId2"/>
    <sheet name="dosage d'oxydo-réduction" sheetId="3" r:id="rId3"/>
    <sheet name="Avancement_" sheetId="4" r:id="rId4"/>
    <sheet name="dosage d'oxydo-réduction (2)" sheetId="5" r:id="rId5"/>
    <sheet name="Avancement_ (2)" sheetId="6" r:id="rId6"/>
  </sheets>
  <definedNames>
    <definedName name="Avancement" localSheetId="3">'Avancement_'!$C$10</definedName>
    <definedName name="Avancement" localSheetId="5">'Avancement_ (2)'!$C$10</definedName>
    <definedName name="Avancement" localSheetId="2">'dosage d''oxydo-réduction'!$D$10</definedName>
    <definedName name="Avancement" localSheetId="4">'dosage d''oxydo-réduction (2)'!$D$10</definedName>
    <definedName name="Avancement">#REF!</definedName>
    <definedName name="C_becher" localSheetId="2">'dosage d''oxydo-réduction'!$K$26</definedName>
    <definedName name="C_becher" localSheetId="4">'dosage d''oxydo-réduction (2)'!$K$26</definedName>
    <definedName name="C_becher">#REF!</definedName>
    <definedName name="C_burette" localSheetId="2">'dosage d''oxydo-réduction'!$K$16</definedName>
    <definedName name="C_burette" localSheetId="4">'dosage d''oxydo-réduction (2)'!$K$16</definedName>
    <definedName name="C_burette">#REF!</definedName>
    <definedName name="Ca">#REF!</definedName>
    <definedName name="Cb">#REF!</definedName>
    <definedName name="coef_prod1" localSheetId="3">'Avancement_'!$T$3</definedName>
    <definedName name="coef_prod1" localSheetId="5">'Avancement_ (2)'!$S$3</definedName>
    <definedName name="coef_prod1" localSheetId="2">'dosage d''oxydo-réduction'!$U$3</definedName>
    <definedName name="coef_prod1" localSheetId="4">'dosage d''oxydo-réduction (2)'!$T$3</definedName>
    <definedName name="coef_prod1">#REF!</definedName>
    <definedName name="coef_prod2" localSheetId="3">'Avancement_'!$W$3</definedName>
    <definedName name="coef_prod2" localSheetId="5">'Avancement_ (2)'!$V$3</definedName>
    <definedName name="coef_prod2" localSheetId="2">'dosage d''oxydo-réduction'!$X$3</definedName>
    <definedName name="coef_prod2" localSheetId="4">'dosage d''oxydo-réduction (2)'!$W$3</definedName>
    <definedName name="coef_prod2">#REF!</definedName>
    <definedName name="coef_produit1">'Réaction'!$G$16</definedName>
    <definedName name="coef_produit2">'Réaction'!$J$16</definedName>
    <definedName name="coef_réact_1" localSheetId="3">'Avancement_'!$I$3</definedName>
    <definedName name="coef_réact_1" localSheetId="5">'Avancement_ (2)'!$I$3</definedName>
    <definedName name="coef_réact_1" localSheetId="2">'dosage d''oxydo-réduction'!$J$3</definedName>
    <definedName name="coef_réact_1" localSheetId="4">'dosage d''oxydo-réduction (2)'!$J$3</definedName>
    <definedName name="coef_réact_1">#REF!</definedName>
    <definedName name="coef_réact_2" localSheetId="3">'Avancement_'!$P$3</definedName>
    <definedName name="coef_réact_2" localSheetId="5">'Avancement_ (2)'!$O$3</definedName>
    <definedName name="coef_réact_2" localSheetId="2">'dosage d''oxydo-réduction'!$Q$3</definedName>
    <definedName name="coef_réact_2" localSheetId="4">'dosage d''oxydo-réduction (2)'!$P$3</definedName>
    <definedName name="coef_réact_2">#REF!</definedName>
    <definedName name="coef_réactif1">'Réaction'!$A$16</definedName>
    <definedName name="coef_réactif2">'Réaction'!$D$16</definedName>
    <definedName name="cond_chlorure">#REF!</definedName>
    <definedName name="cond_hydroxyde">#REF!</definedName>
    <definedName name="cond_ox">#REF!</definedName>
    <definedName name="cond_sodium">#REF!</definedName>
    <definedName name="conduct_totale">#REF!</definedName>
    <definedName name="CRITERIA" localSheetId="1">'Réaction'!#REF!</definedName>
    <definedName name="K">#REF!</definedName>
    <definedName name="K_cell">#REF!</definedName>
    <definedName name="K_cellule">#REF!</definedName>
    <definedName name="N_init_réactif_1" localSheetId="3">'Avancement_'!$J$8</definedName>
    <definedName name="N_init_réactif_1" localSheetId="5">'Avancement_ (2)'!$J$8</definedName>
    <definedName name="N_init_réactif_1" localSheetId="2">'dosage d''oxydo-réduction'!$K$8</definedName>
    <definedName name="N_init_réactif_1" localSheetId="4">'dosage d''oxydo-réduction (2)'!$K$8</definedName>
    <definedName name="N_init_réactif_1">#REF!</definedName>
    <definedName name="N_init_réactif_2" localSheetId="3">'Avancement_'!$Q$8</definedName>
    <definedName name="N_init_réactif_2" localSheetId="5">'Avancement_ (2)'!$P$8</definedName>
    <definedName name="N_init_réactif_2" localSheetId="2">'dosage d''oxydo-réduction'!$R$8</definedName>
    <definedName name="N_init_réactif_2" localSheetId="4">'dosage d''oxydo-réduction (2)'!$Q$8</definedName>
    <definedName name="N_init_réactif_2">#REF!</definedName>
    <definedName name="nom_produit1">'Réaction'!$H$18</definedName>
    <definedName name="nom_produit2">'Réaction'!$K$18</definedName>
    <definedName name="nom_réactif1">'Réaction'!$B$18</definedName>
    <definedName name="nom_réactif2">'Réaction'!$E$18</definedName>
    <definedName name="produit_1">'Réaction'!$H$16</definedName>
    <definedName name="produit_2">'Réaction'!$K$16</definedName>
    <definedName name="réactif_1">'Réaction'!$B$16</definedName>
    <definedName name="réactif_2">'Réaction'!$E$16</definedName>
    <definedName name="v_bech_avance" localSheetId="3">'Avancement_'!$G$24</definedName>
    <definedName name="v_bech_avance" localSheetId="5">'Avancement_ (2)'!$G$24</definedName>
    <definedName name="v_bech_avance">#REF!</definedName>
    <definedName name="V_becher" localSheetId="2">'dosage d''oxydo-réduction'!$K$29</definedName>
    <definedName name="V_becher" localSheetId="4">'dosage d''oxydo-réduction (2)'!$K$29</definedName>
    <definedName name="V_becher">#REF!</definedName>
    <definedName name="V_burette" localSheetId="2">'dosage d''oxydo-réduction'!$K$21</definedName>
    <definedName name="V_burette" localSheetId="4">'dosage d''oxydo-réduction (2)'!$K$21</definedName>
    <definedName name="V_burette">#REF!</definedName>
    <definedName name="V_eau">#REF!</definedName>
    <definedName name="V_eau_cond1" localSheetId="2">'dosage d''oxydo-réduction'!$K$31</definedName>
    <definedName name="V_eau_cond1" localSheetId="4">'dosage d''oxydo-réduction (2)'!$K$31</definedName>
    <definedName name="V_eau_cond1">#REF!</definedName>
    <definedName name="V_total" localSheetId="4">'dosage d''oxydo-réduction (2)'!$H$3</definedName>
    <definedName name="V_total">'dosage d''oxydo-réduction'!$H$3</definedName>
    <definedName name="Va">#REF!</definedName>
    <definedName name="val_compteur_avancement" localSheetId="3">'Avancement_'!$B$3</definedName>
    <definedName name="val_compteur_avancement" localSheetId="5">'Avancement_ (2)'!$B$3</definedName>
    <definedName name="val_compteur_avancement" localSheetId="2">'dosage d''oxydo-réduction'!$C$3</definedName>
    <definedName name="val_compteur_avancement" localSheetId="4">'dosage d''oxydo-réduction (2)'!$C$3</definedName>
    <definedName name="val_compteur_avancement">#REF!</definedName>
    <definedName name="val_cpteur_burette" localSheetId="3">'Avancement_'!$A$3</definedName>
    <definedName name="val_cpteur_burette" localSheetId="5">'Avancement_ (2)'!$A$3</definedName>
    <definedName name="val_cpteur_burette">#REF!</definedName>
    <definedName name="val_cpteur_état_init_réactif_2" localSheetId="3">'Avancement_'!$Q$3</definedName>
    <definedName name="val_cpteur_état_init_réactif_2" localSheetId="5">'Avancement_ (2)'!$P$3</definedName>
    <definedName name="val_cpteur_état_init_réactif_2" localSheetId="2">'dosage d''oxydo-réduction'!$R$3</definedName>
    <definedName name="val_cpteur_état_init_réactif_2" localSheetId="4">'dosage d''oxydo-réduction (2)'!$Q$3</definedName>
    <definedName name="val_cpteur_état_init_réactif_2">#REF!</definedName>
    <definedName name="val_cpteur_état_initl_réactif_1" localSheetId="3">'Avancement_'!$J$3</definedName>
    <definedName name="val_cpteur_état_initl_réactif_1" localSheetId="5">'Avancement_ (2)'!$J$3</definedName>
    <definedName name="val_cpteur_état_initl_réactif_1" localSheetId="2">'dosage d''oxydo-réduction'!$K$3</definedName>
    <definedName name="val_cpteur_état_initl_réactif_1" localSheetId="4">'dosage d''oxydo-réduction (2)'!$K$3</definedName>
    <definedName name="val_cpteur_état_initl_réactif_1">#REF!</definedName>
    <definedName name="Vb">#REF!</definedName>
    <definedName name="Vçtotal" localSheetId="4">'dosage d''oxydo-réduction (2)'!$H$3</definedName>
    <definedName name="Vçtotal">'dosage d''oxydo-réduction'!$H$3</definedName>
    <definedName name="vol_becher_av" localSheetId="3">'Avancement_'!$G$28</definedName>
    <definedName name="vol_becher_av" localSheetId="5">'Avancement_ (2)'!$G$28</definedName>
    <definedName name="vol_becher_av">#REF!</definedName>
    <definedName name="X_equiv" localSheetId="3">'Avancement_'!$C$11</definedName>
    <definedName name="X_equiv" localSheetId="5">'Avancement_ (2)'!$C$11</definedName>
    <definedName name="X_equiv" localSheetId="2">'dosage d''oxydo-réduction'!$D$11</definedName>
    <definedName name="X_equiv" localSheetId="4">'dosage d''oxydo-réduction (2)'!$D$11</definedName>
    <definedName name="X_equiv">#REF!</definedName>
    <definedName name="Z_C1E599BC_70CE_11D3_A8E5_8F8500F89436_.wvu.Rows" localSheetId="3" hidden="1">'Avancement_'!$3:$3</definedName>
    <definedName name="Z_C1E599BC_70CE_11D3_A8E5_8F8500F89436_.wvu.Rows" localSheetId="5" hidden="1">'Avancement_ (2)'!$3:$3</definedName>
    <definedName name="Z_C1E599BC_70CE_11D3_A8E5_8F8500F89436_.wvu.Rows" localSheetId="2" hidden="1">'dosage d''oxydo-réduction'!$3:$3</definedName>
    <definedName name="Z_C1E599BC_70CE_11D3_A8E5_8F8500F89436_.wvu.Rows" localSheetId="4" hidden="1">'dosage d''oxydo-réduction (2)'!$3:$3</definedName>
    <definedName name="_xlnm.Print_Area" localSheetId="2">'dosage d''oxydo-réduction'!$A$1:$Z$31</definedName>
    <definedName name="_xlnm.Print_Area" localSheetId="4">'dosage d''oxydo-réduction (2)'!$A$1:$Y$31</definedName>
  </definedNames>
  <calcPr fullCalcOnLoad="1"/>
</workbook>
</file>

<file path=xl/comments3.xml><?xml version="1.0" encoding="utf-8"?>
<comments xmlns="http://schemas.openxmlformats.org/spreadsheetml/2006/main">
  <authors>
    <author>LE SEAC'H</author>
  </authors>
  <commentList>
    <comment ref="K16" authorId="0">
      <text>
        <r>
          <rPr>
            <sz val="8"/>
            <rFont val="Tahoma"/>
            <family val="2"/>
          </rPr>
          <t xml:space="preserve">Choisir la concentration de la solution placée dans la burette en utilisant le compteur </t>
        </r>
      </text>
    </comment>
    <comment ref="K26" authorId="0">
      <text>
        <r>
          <rPr>
            <sz val="8"/>
            <rFont val="Tahoma"/>
            <family val="2"/>
          </rPr>
          <t xml:space="preserve">Choisir la concentration de la solution placée dans le bécher
en utilisant le compteur </t>
        </r>
      </text>
    </comment>
    <comment ref="K29" authorId="0">
      <text>
        <r>
          <rPr>
            <sz val="8"/>
            <rFont val="Tahoma"/>
            <family val="2"/>
          </rPr>
          <t xml:space="preserve">Choisir le volume de la solution placée dans le bécher en utilisant le compteur </t>
        </r>
      </text>
    </comment>
    <comment ref="C7" authorId="0">
      <text>
        <r>
          <rPr>
            <b/>
            <sz val="8"/>
            <rFont val="Tahoma"/>
            <family val="0"/>
          </rPr>
          <t>Avancement</t>
        </r>
        <r>
          <rPr>
            <sz val="8"/>
            <rFont val="Tahoma"/>
            <family val="0"/>
          </rPr>
          <t xml:space="preserve">
</t>
        </r>
      </text>
    </comment>
    <comment ref="C10" authorId="0">
      <text>
        <r>
          <rPr>
            <b/>
            <sz val="8"/>
            <rFont val="Tahoma"/>
            <family val="0"/>
          </rPr>
          <t>Avancement maximal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LE SEAC'H</author>
  </authors>
  <commentList>
    <comment ref="K16" authorId="0">
      <text>
        <r>
          <rPr>
            <sz val="8"/>
            <rFont val="Tahoma"/>
            <family val="2"/>
          </rPr>
          <t xml:space="preserve">Choisir la concentration de la solution placée dans la burette en utilisant le compteur </t>
        </r>
      </text>
    </comment>
    <comment ref="K26" authorId="0">
      <text>
        <r>
          <rPr>
            <sz val="8"/>
            <rFont val="Tahoma"/>
            <family val="2"/>
          </rPr>
          <t xml:space="preserve">Choisir la concentration de la solution placée dans le bécher
en utilisant le compteur </t>
        </r>
      </text>
    </comment>
    <comment ref="K29" authorId="0">
      <text>
        <r>
          <rPr>
            <sz val="8"/>
            <rFont val="Tahoma"/>
            <family val="2"/>
          </rPr>
          <t xml:space="preserve">Choisir le volume de la solution placée dans le bécher en utilisant le compteur </t>
        </r>
      </text>
    </comment>
    <comment ref="C7" authorId="0">
      <text>
        <r>
          <rPr>
            <b/>
            <sz val="8"/>
            <rFont val="Tahoma"/>
            <family val="0"/>
          </rPr>
          <t>Avancement</t>
        </r>
        <r>
          <rPr>
            <sz val="8"/>
            <rFont val="Tahoma"/>
            <family val="0"/>
          </rPr>
          <t xml:space="preserve">
</t>
        </r>
      </text>
    </comment>
    <comment ref="C10" authorId="0">
      <text>
        <r>
          <rPr>
            <b/>
            <sz val="8"/>
            <rFont val="Tahoma"/>
            <family val="0"/>
          </rPr>
          <t>Avancement maximal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<sst xmlns="http://schemas.openxmlformats.org/spreadsheetml/2006/main" count="130" uniqueCount="60">
  <si>
    <t>Equation de la réaction</t>
  </si>
  <si>
    <t>Etat du système</t>
  </si>
  <si>
    <t>Etat initial</t>
  </si>
  <si>
    <t>Au cours de la transformation</t>
  </si>
  <si>
    <t>=</t>
  </si>
  <si>
    <t>X=</t>
  </si>
  <si>
    <t>+</t>
  </si>
  <si>
    <t>-</t>
  </si>
  <si>
    <t xml:space="preserve"> </t>
  </si>
  <si>
    <t>Volume versé:</t>
  </si>
  <si>
    <t>mL</t>
  </si>
  <si>
    <t>Avancement</t>
  </si>
  <si>
    <t>®</t>
  </si>
  <si>
    <t>Vol versé</t>
  </si>
  <si>
    <t>Cond</t>
  </si>
  <si>
    <t>ou</t>
  </si>
  <si>
    <t xml:space="preserve">          </t>
  </si>
  <si>
    <t>Cliquez sur le curseur</t>
  </si>
  <si>
    <t>c equiv</t>
  </si>
  <si>
    <t xml:space="preserve"> Avancement</t>
  </si>
  <si>
    <t>V versé(mL)</t>
  </si>
  <si>
    <r>
      <t>I</t>
    </r>
    <r>
      <rPr>
        <b/>
        <vertAlign val="subscript"/>
        <sz val="10"/>
        <rFont val="Arial"/>
        <family val="2"/>
      </rPr>
      <t>2(aq)</t>
    </r>
  </si>
  <si>
    <r>
      <t>S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O</t>
    </r>
    <r>
      <rPr>
        <b/>
        <vertAlign val="subscript"/>
        <sz val="10"/>
        <rFont val="Arial"/>
        <family val="2"/>
      </rPr>
      <t>3</t>
    </r>
    <r>
      <rPr>
        <b/>
        <vertAlign val="superscript"/>
        <sz val="10"/>
        <rFont val="Arial"/>
        <family val="2"/>
      </rPr>
      <t>2-</t>
    </r>
    <r>
      <rPr>
        <b/>
        <vertAlign val="subscript"/>
        <sz val="10"/>
        <rFont val="Arial"/>
        <family val="2"/>
      </rPr>
      <t>(aq)</t>
    </r>
  </si>
  <si>
    <r>
      <t>MnO</t>
    </r>
    <r>
      <rPr>
        <b/>
        <vertAlign val="subscript"/>
        <sz val="10"/>
        <rFont val="Arial"/>
        <family val="2"/>
      </rPr>
      <t>4</t>
    </r>
    <r>
      <rPr>
        <b/>
        <vertAlign val="superscript"/>
        <sz val="10"/>
        <rFont val="Arial"/>
        <family val="2"/>
      </rPr>
      <t>-</t>
    </r>
    <r>
      <rPr>
        <b/>
        <sz val="10"/>
        <rFont val="Arial"/>
        <family val="2"/>
      </rPr>
      <t xml:space="preserve"> </t>
    </r>
  </si>
  <si>
    <r>
      <t>I</t>
    </r>
    <r>
      <rPr>
        <b/>
        <vertAlign val="superscript"/>
        <sz val="10"/>
        <rFont val="Arial"/>
        <family val="2"/>
      </rPr>
      <t>-</t>
    </r>
    <r>
      <rPr>
        <b/>
        <vertAlign val="subscript"/>
        <sz val="10"/>
        <rFont val="Arial"/>
        <family val="2"/>
      </rPr>
      <t>(aq)</t>
    </r>
  </si>
  <si>
    <r>
      <t>Fe</t>
    </r>
    <r>
      <rPr>
        <b/>
        <vertAlign val="superscript"/>
        <sz val="10"/>
        <rFont val="Arial"/>
        <family val="2"/>
      </rPr>
      <t>3+</t>
    </r>
  </si>
  <si>
    <r>
      <t>S</t>
    </r>
    <r>
      <rPr>
        <b/>
        <vertAlign val="subscript"/>
        <sz val="10"/>
        <rFont val="Arial"/>
        <family val="2"/>
      </rPr>
      <t>4</t>
    </r>
    <r>
      <rPr>
        <b/>
        <sz val="10"/>
        <rFont val="Arial"/>
        <family val="2"/>
      </rPr>
      <t>O</t>
    </r>
    <r>
      <rPr>
        <b/>
        <vertAlign val="subscript"/>
        <sz val="10"/>
        <rFont val="Arial"/>
        <family val="2"/>
      </rPr>
      <t>6</t>
    </r>
    <r>
      <rPr>
        <b/>
        <vertAlign val="superscript"/>
        <sz val="10"/>
        <rFont val="Arial"/>
        <family val="2"/>
      </rPr>
      <t>2-</t>
    </r>
    <r>
      <rPr>
        <b/>
        <vertAlign val="subscript"/>
        <sz val="10"/>
        <rFont val="Arial"/>
        <family val="2"/>
      </rPr>
      <t>(aq)</t>
    </r>
  </si>
  <si>
    <t>moles de diiode</t>
  </si>
  <si>
    <t xml:space="preserve">   moles d'ions fer II</t>
  </si>
  <si>
    <t>moles d'ions iodure</t>
  </si>
  <si>
    <r>
      <t>MnO</t>
    </r>
    <r>
      <rPr>
        <b/>
        <vertAlign val="subscript"/>
        <sz val="10"/>
        <rFont val="Arial"/>
        <family val="2"/>
      </rPr>
      <t>4</t>
    </r>
    <r>
      <rPr>
        <b/>
        <vertAlign val="superscript"/>
        <sz val="10"/>
        <rFont val="Arial"/>
        <family val="2"/>
      </rPr>
      <t>-</t>
    </r>
  </si>
  <si>
    <r>
      <t>+ K</t>
    </r>
    <r>
      <rPr>
        <b/>
        <vertAlign val="superscript"/>
        <sz val="10"/>
        <rFont val="Arial"/>
        <family val="2"/>
      </rPr>
      <t>+</t>
    </r>
  </si>
  <si>
    <t xml:space="preserve">   Choisissez la tranformation</t>
  </si>
  <si>
    <t xml:space="preserve"> moles d'ions fer III</t>
  </si>
  <si>
    <t xml:space="preserve"> moles d'ions tétrathionate</t>
  </si>
  <si>
    <t xml:space="preserve">        moles d'ions thiosulfate</t>
  </si>
  <si>
    <t xml:space="preserve">       moles d'ions thiosulfate</t>
  </si>
  <si>
    <r>
      <t>Fe</t>
    </r>
    <r>
      <rPr>
        <b/>
        <vertAlign val="superscript"/>
        <sz val="10"/>
        <rFont val="Arial"/>
        <family val="2"/>
      </rPr>
      <t xml:space="preserve">2+ </t>
    </r>
  </si>
  <si>
    <t>moles d'ions fer II</t>
  </si>
  <si>
    <t>moles d'ions permanganate</t>
  </si>
  <si>
    <r>
      <t>Mn</t>
    </r>
    <r>
      <rPr>
        <b/>
        <vertAlign val="superscript"/>
        <sz val="10"/>
        <rFont val="Arial"/>
        <family val="2"/>
      </rPr>
      <t>2+</t>
    </r>
    <r>
      <rPr>
        <b/>
        <sz val="10"/>
        <rFont val="Arial"/>
        <family val="2"/>
      </rPr>
      <t xml:space="preserve"> </t>
    </r>
  </si>
  <si>
    <r>
      <t>+ 8 H</t>
    </r>
    <r>
      <rPr>
        <b/>
        <vertAlign val="superscript"/>
        <sz val="10"/>
        <rFont val="Arial"/>
        <family val="2"/>
      </rPr>
      <t>+</t>
    </r>
    <r>
      <rPr>
        <b/>
        <vertAlign val="subscript"/>
        <sz val="10"/>
        <rFont val="Arial"/>
        <family val="2"/>
      </rPr>
      <t>(aq)</t>
    </r>
  </si>
  <si>
    <r>
      <t>+ 4 H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O</t>
    </r>
  </si>
  <si>
    <t>moles d'ions manganèse</t>
  </si>
  <si>
    <t>mol/L</t>
  </si>
  <si>
    <t>grande</t>
  </si>
  <si>
    <t>quantité</t>
  </si>
  <si>
    <t>suffisante</t>
  </si>
  <si>
    <t xml:space="preserve">  moles d'ions fer III</t>
  </si>
  <si>
    <r>
      <t xml:space="preserve"> X</t>
    </r>
    <r>
      <rPr>
        <vertAlign val="subscript"/>
        <sz val="9"/>
        <rFont val="Arial"/>
        <family val="2"/>
      </rPr>
      <t>m</t>
    </r>
    <r>
      <rPr>
        <sz val="9"/>
        <rFont val="Arial"/>
        <family val="2"/>
      </rPr>
      <t>=</t>
    </r>
  </si>
  <si>
    <r>
      <t>+ 8  H</t>
    </r>
    <r>
      <rPr>
        <b/>
        <vertAlign val="superscript"/>
        <sz val="10"/>
        <rFont val="Arial"/>
        <family val="2"/>
      </rPr>
      <t>+</t>
    </r>
    <r>
      <rPr>
        <b/>
        <vertAlign val="subscript"/>
        <sz val="10"/>
        <rFont val="Arial"/>
        <family val="2"/>
      </rPr>
      <t>(aq)</t>
    </r>
  </si>
  <si>
    <t xml:space="preserve"> moles d'ions permanganate</t>
  </si>
  <si>
    <t xml:space="preserve">               Xm=</t>
  </si>
  <si>
    <t>Tableau:</t>
  </si>
  <si>
    <r>
      <t>Fe</t>
    </r>
    <r>
      <rPr>
        <b/>
        <vertAlign val="superscript"/>
        <sz val="10"/>
        <rFont val="Arial"/>
        <family val="2"/>
      </rPr>
      <t>2+</t>
    </r>
    <r>
      <rPr>
        <b/>
        <vertAlign val="superscript"/>
        <sz val="8"/>
        <rFont val="Arial"/>
        <family val="2"/>
      </rPr>
      <t xml:space="preserve"> </t>
    </r>
    <r>
      <rPr>
        <b/>
        <sz val="8"/>
        <rFont val="Arial"/>
        <family val="2"/>
      </rPr>
      <t>+H</t>
    </r>
    <r>
      <rPr>
        <b/>
        <vertAlign val="superscript"/>
        <sz val="10"/>
        <rFont val="Arial"/>
        <family val="2"/>
      </rPr>
      <t>+</t>
    </r>
    <r>
      <rPr>
        <b/>
        <vertAlign val="subscript"/>
        <sz val="10"/>
        <rFont val="Arial"/>
        <family val="2"/>
      </rPr>
      <t>(aq)</t>
    </r>
  </si>
  <si>
    <r>
      <t xml:space="preserve">  + SO</t>
    </r>
    <r>
      <rPr>
        <b/>
        <vertAlign val="subscript"/>
        <sz val="10"/>
        <rFont val="Arial"/>
        <family val="2"/>
      </rPr>
      <t>4</t>
    </r>
    <r>
      <rPr>
        <b/>
        <vertAlign val="superscript"/>
        <sz val="10"/>
        <rFont val="Arial"/>
        <family val="2"/>
      </rPr>
      <t>2-</t>
    </r>
    <r>
      <rPr>
        <b/>
        <vertAlign val="subscript"/>
        <sz val="10"/>
        <rFont val="Arial"/>
        <family val="2"/>
      </rPr>
      <t>(aq)</t>
    </r>
  </si>
  <si>
    <r>
      <t>+ 2 Na</t>
    </r>
    <r>
      <rPr>
        <b/>
        <vertAlign val="superscript"/>
        <sz val="10"/>
        <rFont val="Arial"/>
        <family val="2"/>
      </rPr>
      <t>+</t>
    </r>
    <r>
      <rPr>
        <b/>
        <vertAlign val="subscript"/>
        <sz val="10"/>
        <rFont val="Arial"/>
        <family val="2"/>
      </rPr>
      <t>(aq)</t>
    </r>
  </si>
  <si>
    <r>
      <t>S</t>
    </r>
    <r>
      <rPr>
        <b/>
        <vertAlign val="subscript"/>
        <sz val="10"/>
        <rFont val="Arial"/>
        <family val="2"/>
      </rPr>
      <t>2</t>
    </r>
    <r>
      <rPr>
        <b/>
        <sz val="9"/>
        <rFont val="Arial"/>
        <family val="2"/>
      </rPr>
      <t>O</t>
    </r>
    <r>
      <rPr>
        <b/>
        <vertAlign val="subscript"/>
        <sz val="10"/>
        <rFont val="Arial"/>
        <family val="2"/>
      </rPr>
      <t>3</t>
    </r>
    <r>
      <rPr>
        <b/>
        <vertAlign val="superscript"/>
        <sz val="10"/>
        <rFont val="Arial"/>
        <family val="2"/>
      </rPr>
      <t>2-</t>
    </r>
    <r>
      <rPr>
        <b/>
        <vertAlign val="subscript"/>
        <sz val="10"/>
        <rFont val="Arial"/>
        <family val="2"/>
      </rPr>
      <t>(aq)</t>
    </r>
  </si>
  <si>
    <t xml:space="preserve">           Réglez la temporisation pour modifier la durée du titrage automatique</t>
  </si>
  <si>
    <t xml:space="preserve">          Réglez la temporisation pour modifier la durée du titrage automatique</t>
  </si>
</sst>
</file>

<file path=xl/styles.xml><?xml version="1.0" encoding="utf-8"?>
<styleSheet xmlns="http://schemas.openxmlformats.org/spreadsheetml/2006/main">
  <numFmts count="19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0.0"/>
    <numFmt numFmtId="165" formatCode="0.000000"/>
    <numFmt numFmtId="166" formatCode="0.00000"/>
    <numFmt numFmtId="167" formatCode="0.0000"/>
    <numFmt numFmtId="168" formatCode="0.000"/>
    <numFmt numFmtId="169" formatCode="0.0E+00"/>
    <numFmt numFmtId="170" formatCode="0.E+00"/>
    <numFmt numFmtId="171" formatCode="dd/mm/yyyy"/>
    <numFmt numFmtId="172" formatCode="0.000E+00"/>
    <numFmt numFmtId="173" formatCode="&quot;Vrai&quot;;&quot;Vrai&quot;;&quot;Faux&quot;"/>
    <numFmt numFmtId="174" formatCode="&quot;Actif&quot;;&quot;Actif&quot;;&quot;Inactif&quot;"/>
  </numFmts>
  <fonts count="71">
    <font>
      <sz val="10"/>
      <name val="Arial"/>
      <family val="0"/>
    </font>
    <font>
      <sz val="10"/>
      <color indexed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color indexed="53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8"/>
      <color indexed="53"/>
      <name val="Arial"/>
      <family val="2"/>
    </font>
    <font>
      <b/>
      <sz val="7"/>
      <color indexed="53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sz val="10"/>
      <name val="Symbol"/>
      <family val="1"/>
    </font>
    <font>
      <sz val="8"/>
      <color indexed="10"/>
      <name val="Arial"/>
      <family val="2"/>
    </font>
    <font>
      <sz val="8"/>
      <name val="Tahoma"/>
      <family val="2"/>
    </font>
    <font>
      <sz val="8"/>
      <color indexed="14"/>
      <name val="Arial"/>
      <family val="2"/>
    </font>
    <font>
      <sz val="5"/>
      <color indexed="9"/>
      <name val="Arial"/>
      <family val="2"/>
    </font>
    <font>
      <b/>
      <vertAlign val="superscript"/>
      <sz val="8"/>
      <name val="Arial"/>
      <family val="2"/>
    </font>
    <font>
      <b/>
      <sz val="7"/>
      <color indexed="10"/>
      <name val="Arial"/>
      <family val="2"/>
    </font>
    <font>
      <b/>
      <sz val="8"/>
      <color indexed="14"/>
      <name val="Arial"/>
      <family val="2"/>
    </font>
    <font>
      <sz val="5"/>
      <name val="Arial"/>
      <family val="2"/>
    </font>
    <font>
      <b/>
      <sz val="8"/>
      <color indexed="12"/>
      <name val="Arial"/>
      <family val="2"/>
    </font>
    <font>
      <b/>
      <sz val="7"/>
      <color indexed="12"/>
      <name val="Arial"/>
      <family val="2"/>
    </font>
    <font>
      <sz val="10"/>
      <color indexed="14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b/>
      <sz val="8"/>
      <name val="Tahoma"/>
      <family val="0"/>
    </font>
    <font>
      <b/>
      <sz val="10"/>
      <color indexed="48"/>
      <name val="Arial"/>
      <family val="2"/>
    </font>
    <font>
      <sz val="8.75"/>
      <name val="Arial"/>
      <family val="0"/>
    </font>
    <font>
      <sz val="6.5"/>
      <name val="Arial"/>
      <family val="2"/>
    </font>
    <font>
      <sz val="8"/>
      <name val="Times New Roman"/>
      <family val="1"/>
    </font>
    <font>
      <b/>
      <sz val="7"/>
      <color indexed="14"/>
      <name val="Arial"/>
      <family val="2"/>
    </font>
    <font>
      <sz val="7"/>
      <name val="Times New Roman"/>
      <family val="1"/>
    </font>
    <font>
      <sz val="5.25"/>
      <name val="Arial"/>
      <family val="0"/>
    </font>
    <font>
      <sz val="1.5"/>
      <name val="Arial"/>
      <family val="0"/>
    </font>
    <font>
      <sz val="1"/>
      <name val="Arial"/>
      <family val="0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b/>
      <sz val="10"/>
      <color indexed="14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b/>
      <sz val="1"/>
      <color indexed="14"/>
      <name val="Arial"/>
      <family val="2"/>
    </font>
    <font>
      <sz val="2"/>
      <name val="Arial"/>
      <family val="2"/>
    </font>
    <font>
      <sz val="8.25"/>
      <name val="Times New Roman"/>
      <family val="1"/>
    </font>
    <font>
      <sz val="5.5"/>
      <name val="Arial"/>
      <family val="0"/>
    </font>
    <font>
      <b/>
      <sz val="14"/>
      <color indexed="10"/>
      <name val="Arial"/>
      <family val="2"/>
    </font>
    <font>
      <b/>
      <sz val="9"/>
      <color indexed="10"/>
      <name val="Arial"/>
      <family val="2"/>
    </font>
    <font>
      <sz val="1.25"/>
      <name val="Arial"/>
      <family val="0"/>
    </font>
    <font>
      <b/>
      <sz val="10"/>
      <name val="Symbol"/>
      <family val="1"/>
    </font>
    <font>
      <vertAlign val="subscript"/>
      <sz val="9"/>
      <name val="Arial"/>
      <family val="2"/>
    </font>
    <font>
      <sz val="7"/>
      <color indexed="10"/>
      <name val="Arial"/>
      <family val="2"/>
    </font>
    <font>
      <b/>
      <sz val="6"/>
      <color indexed="10"/>
      <name val="Arial"/>
      <family val="2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vertAlign val="superscript"/>
      <sz val="9.25"/>
      <name val="Arial"/>
      <family val="2"/>
    </font>
    <font>
      <b/>
      <sz val="5"/>
      <color indexed="10"/>
      <name val="Arial"/>
      <family val="2"/>
    </font>
    <font>
      <b/>
      <sz val="9"/>
      <color indexed="12"/>
      <name val="Arial"/>
      <family val="2"/>
    </font>
    <font>
      <b/>
      <sz val="9"/>
      <color indexed="48"/>
      <name val="Arial"/>
      <family val="2"/>
    </font>
    <font>
      <b/>
      <sz val="8"/>
      <color indexed="9"/>
      <name val="Arial"/>
      <family val="2"/>
    </font>
    <font>
      <b/>
      <sz val="6"/>
      <color indexed="53"/>
      <name val="Arial"/>
      <family val="2"/>
    </font>
    <font>
      <sz val="7"/>
      <name val="Arial Narrow"/>
      <family val="2"/>
    </font>
    <font>
      <b/>
      <sz val="10"/>
      <color indexed="53"/>
      <name val="Arial"/>
      <family val="2"/>
    </font>
    <font>
      <b/>
      <vertAlign val="subscript"/>
      <sz val="9"/>
      <name val="Arial"/>
      <family val="2"/>
    </font>
    <font>
      <sz val="8.5"/>
      <name val="Arial"/>
      <family val="0"/>
    </font>
    <font>
      <b/>
      <sz val="6.75"/>
      <name val="Arial"/>
      <family val="2"/>
    </font>
    <font>
      <sz val="6.75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gray06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4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horizontal="center"/>
    </xf>
    <xf numFmtId="0" fontId="4" fillId="0" borderId="2" xfId="0" applyFont="1" applyBorder="1" applyAlignment="1">
      <alignment/>
    </xf>
    <xf numFmtId="1" fontId="5" fillId="3" borderId="3" xfId="0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0" fontId="0" fillId="4" borderId="0" xfId="0" applyFill="1" applyAlignment="1">
      <alignment/>
    </xf>
    <xf numFmtId="0" fontId="0" fillId="4" borderId="0" xfId="0" applyFill="1" applyAlignment="1">
      <alignment horizontal="center"/>
    </xf>
    <xf numFmtId="0" fontId="0" fillId="4" borderId="0" xfId="0" applyFill="1" applyAlignment="1">
      <alignment horizontal="center" wrapText="1"/>
    </xf>
    <xf numFmtId="0" fontId="7" fillId="4" borderId="0" xfId="0" applyFont="1" applyFill="1" applyAlignment="1">
      <alignment horizontal="center"/>
    </xf>
    <xf numFmtId="0" fontId="0" fillId="4" borderId="0" xfId="0" applyFill="1" applyAlignment="1">
      <alignment wrapText="1"/>
    </xf>
    <xf numFmtId="0" fontId="0" fillId="5" borderId="0" xfId="0" applyFill="1" applyAlignment="1">
      <alignment/>
    </xf>
    <xf numFmtId="0" fontId="3" fillId="4" borderId="0" xfId="0" applyFont="1" applyFill="1" applyAlignment="1">
      <alignment/>
    </xf>
    <xf numFmtId="0" fontId="0" fillId="4" borderId="0" xfId="0" applyFont="1" applyFill="1" applyAlignment="1">
      <alignment/>
    </xf>
    <xf numFmtId="1" fontId="0" fillId="4" borderId="0" xfId="0" applyNumberFormat="1" applyFont="1" applyFill="1" applyAlignment="1">
      <alignment/>
    </xf>
    <xf numFmtId="0" fontId="3" fillId="4" borderId="0" xfId="0" applyFont="1" applyFill="1" applyAlignment="1">
      <alignment horizontal="center" wrapText="1"/>
    </xf>
    <xf numFmtId="0" fontId="2" fillId="4" borderId="0" xfId="0" applyFont="1" applyFill="1" applyAlignment="1">
      <alignment horizontal="center" wrapText="1"/>
    </xf>
    <xf numFmtId="0" fontId="6" fillId="4" borderId="0" xfId="0" applyFont="1" applyFill="1" applyAlignment="1">
      <alignment horizontal="center" wrapText="1"/>
    </xf>
    <xf numFmtId="0" fontId="9" fillId="4" borderId="0" xfId="0" applyFont="1" applyFill="1" applyAlignment="1">
      <alignment/>
    </xf>
    <xf numFmtId="0" fontId="10" fillId="4" borderId="0" xfId="0" applyFont="1" applyFill="1" applyAlignment="1">
      <alignment horizontal="left"/>
    </xf>
    <xf numFmtId="0" fontId="10" fillId="4" borderId="0" xfId="0" applyFont="1" applyFill="1" applyAlignment="1">
      <alignment horizontal="right"/>
    </xf>
    <xf numFmtId="0" fontId="0" fillId="4" borderId="0" xfId="0" applyFont="1" applyFill="1" applyAlignment="1" applyProtection="1">
      <alignment/>
      <protection hidden="1"/>
    </xf>
    <xf numFmtId="0" fontId="3" fillId="4" borderId="0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4" xfId="0" applyFill="1" applyBorder="1" applyAlignment="1">
      <alignment/>
    </xf>
    <xf numFmtId="2" fontId="2" fillId="4" borderId="0" xfId="0" applyNumberFormat="1" applyFont="1" applyFill="1" applyAlignment="1">
      <alignment/>
    </xf>
    <xf numFmtId="2" fontId="0" fillId="4" borderId="0" xfId="0" applyNumberFormat="1" applyFont="1" applyFill="1" applyAlignment="1">
      <alignment/>
    </xf>
    <xf numFmtId="11" fontId="5" fillId="3" borderId="5" xfId="0" applyNumberFormat="1" applyFont="1" applyFill="1" applyBorder="1" applyAlignment="1">
      <alignment horizontal="center"/>
    </xf>
    <xf numFmtId="1" fontId="0" fillId="4" borderId="0" xfId="0" applyNumberFormat="1" applyFont="1" applyFill="1" applyAlignment="1">
      <alignment horizontal="center"/>
    </xf>
    <xf numFmtId="0" fontId="16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0" fillId="2" borderId="8" xfId="0" applyFill="1" applyBorder="1" applyAlignment="1">
      <alignment horizontal="center"/>
    </xf>
    <xf numFmtId="11" fontId="6" fillId="2" borderId="1" xfId="0" applyNumberFormat="1" applyFon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11" fontId="2" fillId="2" borderId="11" xfId="0" applyNumberFormat="1" applyFont="1" applyFill="1" applyBorder="1" applyAlignment="1">
      <alignment horizontal="left"/>
    </xf>
    <xf numFmtId="164" fontId="5" fillId="2" borderId="3" xfId="0" applyNumberFormat="1" applyFont="1" applyFill="1" applyBorder="1" applyAlignment="1">
      <alignment horizontal="center"/>
    </xf>
    <xf numFmtId="11" fontId="5" fillId="2" borderId="3" xfId="0" applyNumberFormat="1" applyFont="1" applyFill="1" applyBorder="1" applyAlignment="1">
      <alignment horizontal="center"/>
    </xf>
    <xf numFmtId="0" fontId="5" fillId="2" borderId="3" xfId="0" applyFont="1" applyFill="1" applyBorder="1" applyAlignment="1">
      <alignment/>
    </xf>
    <xf numFmtId="11" fontId="2" fillId="2" borderId="3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168" fontId="2" fillId="4" borderId="0" xfId="0" applyNumberFormat="1" applyFont="1" applyFill="1" applyAlignment="1">
      <alignment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/>
    </xf>
    <xf numFmtId="0" fontId="6" fillId="3" borderId="9" xfId="0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4" xfId="0" applyFill="1" applyBorder="1" applyAlignment="1">
      <alignment/>
    </xf>
    <xf numFmtId="11" fontId="5" fillId="3" borderId="9" xfId="0" applyNumberFormat="1" applyFont="1" applyFill="1" applyBorder="1" applyAlignment="1">
      <alignment horizontal="center"/>
    </xf>
    <xf numFmtId="0" fontId="2" fillId="4" borderId="0" xfId="0" applyFont="1" applyFill="1" applyAlignment="1">
      <alignment horizontal="left"/>
    </xf>
    <xf numFmtId="0" fontId="1" fillId="4" borderId="12" xfId="0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1" fillId="4" borderId="12" xfId="0" applyFont="1" applyFill="1" applyBorder="1" applyAlignment="1">
      <alignment/>
    </xf>
    <xf numFmtId="0" fontId="0" fillId="4" borderId="12" xfId="0" applyFill="1" applyBorder="1" applyAlignment="1">
      <alignment/>
    </xf>
    <xf numFmtId="0" fontId="0" fillId="2" borderId="13" xfId="0" applyFill="1" applyBorder="1" applyAlignment="1">
      <alignment/>
    </xf>
    <xf numFmtId="0" fontId="2" fillId="2" borderId="13" xfId="0" applyFont="1" applyFill="1" applyBorder="1" applyAlignment="1">
      <alignment horizontal="left"/>
    </xf>
    <xf numFmtId="0" fontId="0" fillId="2" borderId="14" xfId="0" applyFill="1" applyBorder="1" applyAlignment="1">
      <alignment/>
    </xf>
    <xf numFmtId="0" fontId="0" fillId="3" borderId="13" xfId="0" applyFill="1" applyBorder="1" applyAlignment="1">
      <alignment/>
    </xf>
    <xf numFmtId="0" fontId="2" fillId="3" borderId="14" xfId="0" applyFont="1" applyFill="1" applyBorder="1" applyAlignment="1">
      <alignment horizontal="left"/>
    </xf>
    <xf numFmtId="0" fontId="0" fillId="0" borderId="15" xfId="0" applyBorder="1" applyAlignment="1">
      <alignment/>
    </xf>
    <xf numFmtId="0" fontId="0" fillId="4" borderId="0" xfId="0" applyFill="1" applyBorder="1" applyAlignment="1">
      <alignment/>
    </xf>
    <xf numFmtId="0" fontId="0" fillId="0" borderId="0" xfId="0" applyBorder="1" applyAlignment="1">
      <alignment/>
    </xf>
    <xf numFmtId="0" fontId="2" fillId="6" borderId="16" xfId="0" applyFont="1" applyFill="1" applyBorder="1" applyAlignment="1">
      <alignment/>
    </xf>
    <xf numFmtId="0" fontId="0" fillId="6" borderId="17" xfId="0" applyFill="1" applyBorder="1" applyAlignment="1">
      <alignment horizontal="right"/>
    </xf>
    <xf numFmtId="0" fontId="5" fillId="6" borderId="1" xfId="0" applyFont="1" applyFill="1" applyBorder="1" applyAlignment="1">
      <alignment horizontal="center"/>
    </xf>
    <xf numFmtId="11" fontId="11" fillId="6" borderId="4" xfId="0" applyNumberFormat="1" applyFont="1" applyFill="1" applyBorder="1" applyAlignment="1">
      <alignment horizontal="center"/>
    </xf>
    <xf numFmtId="11" fontId="12" fillId="6" borderId="3" xfId="0" applyNumberFormat="1" applyFont="1" applyFill="1" applyBorder="1" applyAlignment="1" applyProtection="1">
      <alignment horizontal="center"/>
      <protection/>
    </xf>
    <xf numFmtId="1" fontId="5" fillId="7" borderId="3" xfId="0" applyNumberFormat="1" applyFont="1" applyFill="1" applyBorder="1" applyAlignment="1">
      <alignment horizontal="center"/>
    </xf>
    <xf numFmtId="0" fontId="10" fillId="4" borderId="0" xfId="0" applyFont="1" applyFill="1" applyAlignment="1">
      <alignment/>
    </xf>
    <xf numFmtId="0" fontId="12" fillId="0" borderId="18" xfId="0" applyFont="1" applyBorder="1" applyAlignment="1">
      <alignment wrapText="1"/>
    </xf>
    <xf numFmtId="0" fontId="2" fillId="4" borderId="0" xfId="0" applyFont="1" applyFill="1" applyAlignment="1">
      <alignment/>
    </xf>
    <xf numFmtId="0" fontId="10" fillId="4" borderId="0" xfId="0" applyFont="1" applyFill="1" applyBorder="1" applyAlignment="1">
      <alignment/>
    </xf>
    <xf numFmtId="0" fontId="0" fillId="2" borderId="0" xfId="0" applyFill="1" applyAlignment="1">
      <alignment horizontal="center"/>
    </xf>
    <xf numFmtId="2" fontId="12" fillId="4" borderId="0" xfId="0" applyNumberFormat="1" applyFont="1" applyFill="1" applyAlignment="1">
      <alignment horizontal="center"/>
    </xf>
    <xf numFmtId="0" fontId="5" fillId="4" borderId="0" xfId="0" applyFont="1" applyFill="1" applyAlignment="1">
      <alignment/>
    </xf>
    <xf numFmtId="0" fontId="5" fillId="4" borderId="0" xfId="0" applyFont="1" applyFill="1" applyAlignment="1">
      <alignment horizontal="left"/>
    </xf>
    <xf numFmtId="0" fontId="6" fillId="4" borderId="0" xfId="0" applyFont="1" applyFill="1" applyAlignment="1">
      <alignment/>
    </xf>
    <xf numFmtId="1" fontId="0" fillId="4" borderId="0" xfId="0" applyNumberFormat="1" applyFont="1" applyFill="1" applyBorder="1" applyAlignment="1">
      <alignment/>
    </xf>
    <xf numFmtId="0" fontId="7" fillId="4" borderId="0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center"/>
    </xf>
    <xf numFmtId="0" fontId="0" fillId="4" borderId="0" xfId="0" applyFont="1" applyFill="1" applyAlignment="1">
      <alignment horizontal="center" wrapText="1"/>
    </xf>
    <xf numFmtId="0" fontId="6" fillId="4" borderId="0" xfId="0" applyFont="1" applyFill="1" applyBorder="1" applyAlignment="1">
      <alignment horizontal="center"/>
    </xf>
    <xf numFmtId="0" fontId="11" fillId="0" borderId="19" xfId="0" applyFont="1" applyBorder="1" applyAlignment="1">
      <alignment/>
    </xf>
    <xf numFmtId="11" fontId="0" fillId="0" borderId="0" xfId="0" applyNumberFormat="1" applyAlignment="1">
      <alignment horizontal="center"/>
    </xf>
    <xf numFmtId="0" fontId="23" fillId="4" borderId="0" xfId="0" applyFont="1" applyFill="1" applyAlignment="1">
      <alignment horizontal="left"/>
    </xf>
    <xf numFmtId="1" fontId="8" fillId="4" borderId="0" xfId="0" applyNumberFormat="1" applyFont="1" applyFill="1" applyBorder="1" applyAlignment="1">
      <alignment horizontal="center"/>
    </xf>
    <xf numFmtId="0" fontId="16" fillId="4" borderId="0" xfId="0" applyFont="1" applyFill="1" applyBorder="1" applyAlignment="1">
      <alignment horizontal="center"/>
    </xf>
    <xf numFmtId="0" fontId="15" fillId="4" borderId="0" xfId="0" applyFont="1" applyFill="1" applyAlignment="1">
      <alignment/>
    </xf>
    <xf numFmtId="0" fontId="23" fillId="4" borderId="0" xfId="0" applyFont="1" applyFill="1" applyAlignment="1">
      <alignment/>
    </xf>
    <xf numFmtId="11" fontId="5" fillId="7" borderId="3" xfId="0" applyNumberFormat="1" applyFont="1" applyFill="1" applyBorder="1" applyAlignment="1">
      <alignment horizontal="center"/>
    </xf>
    <xf numFmtId="0" fontId="0" fillId="4" borderId="15" xfId="0" applyFill="1" applyBorder="1" applyAlignment="1">
      <alignment/>
    </xf>
    <xf numFmtId="0" fontId="16" fillId="6" borderId="4" xfId="0" applyFont="1" applyFill="1" applyBorder="1" applyAlignment="1">
      <alignment horizontal="center"/>
    </xf>
    <xf numFmtId="2" fontId="16" fillId="6" borderId="4" xfId="0" applyNumberFormat="1" applyFont="1" applyFill="1" applyBorder="1" applyAlignment="1">
      <alignment horizontal="center"/>
    </xf>
    <xf numFmtId="0" fontId="28" fillId="2" borderId="4" xfId="0" applyFont="1" applyFill="1" applyBorder="1" applyAlignment="1">
      <alignment/>
    </xf>
    <xf numFmtId="168" fontId="12" fillId="4" borderId="0" xfId="0" applyNumberFormat="1" applyFont="1" applyFill="1" applyAlignment="1">
      <alignment horizontal="right"/>
    </xf>
    <xf numFmtId="0" fontId="11" fillId="4" borderId="0" xfId="0" applyFont="1" applyFill="1" applyAlignment="1">
      <alignment/>
    </xf>
    <xf numFmtId="168" fontId="12" fillId="4" borderId="0" xfId="0" applyNumberFormat="1" applyFont="1" applyFill="1" applyAlignment="1">
      <alignment/>
    </xf>
    <xf numFmtId="1" fontId="12" fillId="4" borderId="0" xfId="0" applyNumberFormat="1" applyFont="1" applyFill="1" applyAlignment="1">
      <alignment horizontal="center"/>
    </xf>
    <xf numFmtId="0" fontId="27" fillId="4" borderId="0" xfId="0" applyFont="1" applyFill="1" applyAlignment="1">
      <alignment horizontal="center" wrapText="1"/>
    </xf>
    <xf numFmtId="0" fontId="26" fillId="4" borderId="0" xfId="0" applyFont="1" applyFill="1" applyAlignment="1">
      <alignment horizontal="left"/>
    </xf>
    <xf numFmtId="2" fontId="3" fillId="2" borderId="0" xfId="0" applyNumberFormat="1" applyFont="1" applyFill="1" applyAlignment="1">
      <alignment horizontal="center"/>
    </xf>
    <xf numFmtId="0" fontId="0" fillId="5" borderId="0" xfId="0" applyFill="1" applyBorder="1" applyAlignment="1">
      <alignment/>
    </xf>
    <xf numFmtId="0" fontId="2" fillId="6" borderId="8" xfId="0" applyFont="1" applyFill="1" applyBorder="1" applyAlignment="1">
      <alignment horizontal="center"/>
    </xf>
    <xf numFmtId="0" fontId="30" fillId="6" borderId="17" xfId="0" applyFont="1" applyFill="1" applyBorder="1" applyAlignment="1">
      <alignment/>
    </xf>
    <xf numFmtId="0" fontId="29" fillId="4" borderId="0" xfId="0" applyFont="1" applyFill="1" applyAlignment="1">
      <alignment horizontal="left"/>
    </xf>
    <xf numFmtId="1" fontId="25" fillId="4" borderId="0" xfId="0" applyNumberFormat="1" applyFont="1" applyFill="1" applyAlignment="1" applyProtection="1">
      <alignment/>
      <protection hidden="1"/>
    </xf>
    <xf numFmtId="0" fontId="12" fillId="4" borderId="0" xfId="0" applyFont="1" applyFill="1" applyAlignment="1" applyProtection="1">
      <alignment/>
      <protection hidden="1"/>
    </xf>
    <xf numFmtId="0" fontId="32" fillId="4" borderId="0" xfId="0" applyFont="1" applyFill="1" applyAlignment="1">
      <alignment/>
    </xf>
    <xf numFmtId="0" fontId="16" fillId="4" borderId="12" xfId="0" applyFont="1" applyFill="1" applyBorder="1" applyAlignment="1">
      <alignment/>
    </xf>
    <xf numFmtId="0" fontId="21" fillId="4" borderId="12" xfId="0" applyFont="1" applyFill="1" applyBorder="1" applyAlignment="1">
      <alignment/>
    </xf>
    <xf numFmtId="11" fontId="15" fillId="4" borderId="12" xfId="0" applyNumberFormat="1" applyFont="1" applyFill="1" applyBorder="1" applyAlignment="1">
      <alignment horizontal="center"/>
    </xf>
    <xf numFmtId="11" fontId="24" fillId="4" borderId="12" xfId="0" applyNumberFormat="1" applyFont="1" applyFill="1" applyBorder="1" applyAlignment="1">
      <alignment horizontal="center"/>
    </xf>
    <xf numFmtId="0" fontId="16" fillId="4" borderId="12" xfId="0" applyFont="1" applyFill="1" applyBorder="1" applyAlignment="1">
      <alignment horizontal="center"/>
    </xf>
    <xf numFmtId="0" fontId="18" fillId="4" borderId="12" xfId="0" applyFont="1" applyFill="1" applyBorder="1" applyAlignment="1">
      <alignment horizontal="left"/>
    </xf>
    <xf numFmtId="0" fontId="20" fillId="4" borderId="12" xfId="0" applyFont="1" applyFill="1" applyBorder="1" applyAlignment="1">
      <alignment/>
    </xf>
    <xf numFmtId="0" fontId="16" fillId="4" borderId="12" xfId="0" applyFont="1" applyFill="1" applyBorder="1" applyAlignment="1">
      <alignment horizontal="left"/>
    </xf>
    <xf numFmtId="0" fontId="41" fillId="0" borderId="0" xfId="0" applyFont="1" applyAlignment="1">
      <alignment/>
    </xf>
    <xf numFmtId="11" fontId="10" fillId="4" borderId="0" xfId="0" applyNumberFormat="1" applyFont="1" applyFill="1" applyAlignment="1">
      <alignment horizontal="left"/>
    </xf>
    <xf numFmtId="11" fontId="10" fillId="4" borderId="0" xfId="0" applyNumberFormat="1" applyFont="1" applyFill="1" applyAlignment="1">
      <alignment/>
    </xf>
    <xf numFmtId="0" fontId="3" fillId="4" borderId="0" xfId="0" applyFont="1" applyFill="1" applyBorder="1" applyAlignment="1">
      <alignment/>
    </xf>
    <xf numFmtId="0" fontId="10" fillId="4" borderId="0" xfId="0" applyFont="1" applyFill="1" applyBorder="1" applyAlignment="1">
      <alignment horizontal="right"/>
    </xf>
    <xf numFmtId="0" fontId="43" fillId="4" borderId="20" xfId="0" applyFont="1" applyFill="1" applyBorder="1" applyAlignment="1">
      <alignment horizontal="right"/>
    </xf>
    <xf numFmtId="2" fontId="43" fillId="4" borderId="20" xfId="0" applyNumberFormat="1" applyFont="1" applyFill="1" applyBorder="1" applyAlignment="1">
      <alignment horizontal="center"/>
    </xf>
    <xf numFmtId="0" fontId="43" fillId="4" borderId="20" xfId="0" applyFont="1" applyFill="1" applyBorder="1" applyAlignment="1">
      <alignment/>
    </xf>
    <xf numFmtId="2" fontId="46" fillId="4" borderId="20" xfId="0" applyNumberFormat="1" applyFont="1" applyFill="1" applyBorder="1" applyAlignment="1">
      <alignment horizontal="right"/>
    </xf>
    <xf numFmtId="0" fontId="47" fillId="4" borderId="20" xfId="0" applyFont="1" applyFill="1" applyBorder="1" applyAlignment="1">
      <alignment/>
    </xf>
    <xf numFmtId="1" fontId="2" fillId="4" borderId="0" xfId="0" applyNumberFormat="1" applyFont="1" applyFill="1" applyAlignment="1">
      <alignment/>
    </xf>
    <xf numFmtId="0" fontId="0" fillId="4" borderId="0" xfId="0" applyFill="1" applyBorder="1" applyAlignment="1">
      <alignment wrapText="1"/>
    </xf>
    <xf numFmtId="0" fontId="0" fillId="4" borderId="0" xfId="0" applyFill="1" applyBorder="1" applyAlignment="1">
      <alignment horizontal="center"/>
    </xf>
    <xf numFmtId="0" fontId="0" fillId="4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left"/>
    </xf>
    <xf numFmtId="1" fontId="8" fillId="8" borderId="0" xfId="0" applyNumberFormat="1" applyFont="1" applyFill="1" applyBorder="1" applyAlignment="1">
      <alignment horizontal="center"/>
    </xf>
    <xf numFmtId="0" fontId="9" fillId="9" borderId="0" xfId="0" applyFont="1" applyFill="1" applyBorder="1" applyAlignment="1">
      <alignment horizontal="center"/>
    </xf>
    <xf numFmtId="0" fontId="7" fillId="9" borderId="0" xfId="0" applyFont="1" applyFill="1" applyBorder="1" applyAlignment="1">
      <alignment horizontal="center"/>
    </xf>
    <xf numFmtId="0" fontId="8" fillId="8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 wrapText="1"/>
    </xf>
    <xf numFmtId="0" fontId="6" fillId="4" borderId="0" xfId="0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center" wrapText="1"/>
    </xf>
    <xf numFmtId="0" fontId="0" fillId="4" borderId="0" xfId="0" applyFont="1" applyFill="1" applyBorder="1" applyAlignment="1">
      <alignment horizontal="center" wrapText="1"/>
    </xf>
    <xf numFmtId="0" fontId="0" fillId="4" borderId="0" xfId="0" applyFill="1" applyBorder="1" applyAlignment="1">
      <alignment horizontal="center" wrapText="1"/>
    </xf>
    <xf numFmtId="0" fontId="0" fillId="4" borderId="0" xfId="0" applyFill="1" applyBorder="1" applyAlignment="1">
      <alignment horizontal="right"/>
    </xf>
    <xf numFmtId="0" fontId="42" fillId="4" borderId="0" xfId="15" applyFill="1" applyBorder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50" fillId="4" borderId="0" xfId="0" applyFont="1" applyFill="1" applyAlignment="1">
      <alignment/>
    </xf>
    <xf numFmtId="0" fontId="50" fillId="4" borderId="0" xfId="0" applyFont="1" applyFill="1" applyBorder="1" applyAlignment="1">
      <alignment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 quotePrefix="1">
      <alignment horizontal="center"/>
    </xf>
    <xf numFmtId="0" fontId="6" fillId="5" borderId="0" xfId="0" applyFont="1" applyFill="1" applyAlignment="1">
      <alignment horizontal="center" wrapText="1"/>
    </xf>
    <xf numFmtId="0" fontId="3" fillId="5" borderId="0" xfId="0" applyFont="1" applyFill="1" applyAlignment="1">
      <alignment horizontal="center" wrapText="1"/>
    </xf>
    <xf numFmtId="1" fontId="4" fillId="4" borderId="3" xfId="0" applyNumberFormat="1" applyFont="1" applyFill="1" applyBorder="1" applyAlignment="1">
      <alignment horizontal="right"/>
    </xf>
    <xf numFmtId="0" fontId="4" fillId="4" borderId="12" xfId="0" applyFont="1" applyFill="1" applyBorder="1" applyAlignment="1">
      <alignment horizontal="left"/>
    </xf>
    <xf numFmtId="11" fontId="4" fillId="10" borderId="21" xfId="0" applyNumberFormat="1" applyFont="1" applyFill="1" applyBorder="1" applyAlignment="1">
      <alignment horizontal="center"/>
    </xf>
    <xf numFmtId="11" fontId="13" fillId="4" borderId="22" xfId="0" applyNumberFormat="1" applyFont="1" applyFill="1" applyBorder="1" applyAlignment="1">
      <alignment horizontal="center"/>
    </xf>
    <xf numFmtId="1" fontId="4" fillId="4" borderId="3" xfId="0" applyNumberFormat="1" applyFont="1" applyFill="1" applyBorder="1" applyAlignment="1">
      <alignment horizontal="center"/>
    </xf>
    <xf numFmtId="0" fontId="13" fillId="4" borderId="12" xfId="0" applyFont="1" applyFill="1" applyBorder="1" applyAlignment="1">
      <alignment horizontal="left"/>
    </xf>
    <xf numFmtId="11" fontId="4" fillId="4" borderId="23" xfId="0" applyNumberFormat="1" applyFont="1" applyFill="1" applyBorder="1" applyAlignment="1">
      <alignment horizontal="center"/>
    </xf>
    <xf numFmtId="0" fontId="14" fillId="4" borderId="12" xfId="0" applyFont="1" applyFill="1" applyBorder="1" applyAlignment="1">
      <alignment horizontal="left"/>
    </xf>
    <xf numFmtId="11" fontId="4" fillId="4" borderId="12" xfId="0" applyNumberFormat="1" applyFont="1" applyFill="1" applyBorder="1" applyAlignment="1">
      <alignment horizontal="center"/>
    </xf>
    <xf numFmtId="0" fontId="4" fillId="4" borderId="23" xfId="0" applyFont="1" applyFill="1" applyBorder="1" applyAlignment="1">
      <alignment horizontal="center"/>
    </xf>
    <xf numFmtId="0" fontId="2" fillId="11" borderId="24" xfId="0" applyFont="1" applyFill="1" applyBorder="1" applyAlignment="1">
      <alignment horizontal="left"/>
    </xf>
    <xf numFmtId="0" fontId="0" fillId="11" borderId="13" xfId="0" applyFill="1" applyBorder="1" applyAlignment="1">
      <alignment/>
    </xf>
    <xf numFmtId="0" fontId="0" fillId="11" borderId="0" xfId="0" applyFill="1" applyAlignment="1">
      <alignment/>
    </xf>
    <xf numFmtId="0" fontId="2" fillId="11" borderId="13" xfId="0" applyFont="1" applyFill="1" applyBorder="1" applyAlignment="1">
      <alignment horizontal="left"/>
    </xf>
    <xf numFmtId="0" fontId="2" fillId="11" borderId="14" xfId="0" applyFont="1" applyFill="1" applyBorder="1" applyAlignment="1">
      <alignment horizontal="left"/>
    </xf>
    <xf numFmtId="0" fontId="0" fillId="11" borderId="8" xfId="0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0" fontId="0" fillId="11" borderId="1" xfId="0" applyFill="1" applyBorder="1" applyAlignment="1">
      <alignment/>
    </xf>
    <xf numFmtId="0" fontId="0" fillId="11" borderId="4" xfId="0" applyFill="1" applyBorder="1" applyAlignment="1">
      <alignment/>
    </xf>
    <xf numFmtId="11" fontId="6" fillId="11" borderId="9" xfId="0" applyNumberFormat="1" applyFont="1" applyFill="1" applyBorder="1" applyAlignment="1">
      <alignment horizontal="center"/>
    </xf>
    <xf numFmtId="11" fontId="11" fillId="11" borderId="10" xfId="0" applyNumberFormat="1" applyFont="1" applyFill="1" applyBorder="1" applyAlignment="1">
      <alignment horizontal="center"/>
    </xf>
    <xf numFmtId="164" fontId="0" fillId="11" borderId="4" xfId="0" applyNumberFormat="1" applyFill="1" applyBorder="1" applyAlignment="1">
      <alignment horizontal="center"/>
    </xf>
    <xf numFmtId="1" fontId="0" fillId="11" borderId="4" xfId="0" applyNumberFormat="1" applyFill="1" applyBorder="1" applyAlignment="1">
      <alignment horizontal="center"/>
    </xf>
    <xf numFmtId="0" fontId="2" fillId="11" borderId="4" xfId="0" applyFont="1" applyFill="1" applyBorder="1" applyAlignment="1">
      <alignment/>
    </xf>
    <xf numFmtId="11" fontId="5" fillId="11" borderId="9" xfId="0" applyNumberFormat="1" applyFont="1" applyFill="1" applyBorder="1" applyAlignment="1">
      <alignment horizontal="center"/>
    </xf>
    <xf numFmtId="11" fontId="2" fillId="11" borderId="11" xfId="0" applyNumberFormat="1" applyFont="1" applyFill="1" applyBorder="1" applyAlignment="1">
      <alignment horizontal="center"/>
    </xf>
    <xf numFmtId="164" fontId="5" fillId="11" borderId="3" xfId="0" applyNumberFormat="1" applyFont="1" applyFill="1" applyBorder="1" applyAlignment="1">
      <alignment horizontal="center"/>
    </xf>
    <xf numFmtId="1" fontId="5" fillId="11" borderId="3" xfId="0" applyNumberFormat="1" applyFont="1" applyFill="1" applyBorder="1" applyAlignment="1">
      <alignment horizontal="left"/>
    </xf>
    <xf numFmtId="0" fontId="2" fillId="11" borderId="3" xfId="0" applyFont="1" applyFill="1" applyBorder="1" applyAlignment="1">
      <alignment horizontal="left"/>
    </xf>
    <xf numFmtId="0" fontId="5" fillId="11" borderId="3" xfId="0" applyFont="1" applyFill="1" applyBorder="1" applyAlignment="1">
      <alignment horizontal="left"/>
    </xf>
    <xf numFmtId="11" fontId="5" fillId="11" borderId="5" xfId="0" applyNumberFormat="1" applyFont="1" applyFill="1" applyBorder="1" applyAlignment="1">
      <alignment horizontal="center"/>
    </xf>
    <xf numFmtId="0" fontId="3" fillId="11" borderId="0" xfId="0" applyFont="1" applyFill="1" applyBorder="1" applyAlignment="1">
      <alignment horizontal="center"/>
    </xf>
    <xf numFmtId="0" fontId="12" fillId="11" borderId="0" xfId="0" applyFont="1" applyFill="1" applyAlignment="1">
      <alignment horizontal="center"/>
    </xf>
    <xf numFmtId="0" fontId="0" fillId="12" borderId="14" xfId="0" applyFill="1" applyBorder="1" applyAlignment="1">
      <alignment/>
    </xf>
    <xf numFmtId="0" fontId="0" fillId="12" borderId="9" xfId="0" applyFill="1" applyBorder="1" applyAlignment="1">
      <alignment horizontal="center"/>
    </xf>
    <xf numFmtId="0" fontId="5" fillId="12" borderId="5" xfId="0" applyFont="1" applyFill="1" applyBorder="1" applyAlignment="1">
      <alignment horizontal="center"/>
    </xf>
    <xf numFmtId="0" fontId="16" fillId="4" borderId="0" xfId="0" applyFont="1" applyFill="1" applyAlignment="1">
      <alignment/>
    </xf>
    <xf numFmtId="0" fontId="2" fillId="6" borderId="13" xfId="0" applyFont="1" applyFill="1" applyBorder="1" applyAlignment="1">
      <alignment horizontal="left"/>
    </xf>
    <xf numFmtId="0" fontId="0" fillId="13" borderId="13" xfId="0" applyFill="1" applyBorder="1" applyAlignment="1">
      <alignment/>
    </xf>
    <xf numFmtId="0" fontId="2" fillId="13" borderId="25" xfId="0" applyFont="1" applyFill="1" applyBorder="1" applyAlignment="1">
      <alignment horizontal="left"/>
    </xf>
    <xf numFmtId="0" fontId="0" fillId="13" borderId="8" xfId="0" applyFill="1" applyBorder="1" applyAlignment="1">
      <alignment/>
    </xf>
    <xf numFmtId="0" fontId="0" fillId="13" borderId="1" xfId="0" applyFill="1" applyBorder="1" applyAlignment="1">
      <alignment/>
    </xf>
    <xf numFmtId="0" fontId="3" fillId="13" borderId="26" xfId="0" applyFont="1" applyFill="1" applyBorder="1" applyAlignment="1">
      <alignment horizontal="center"/>
    </xf>
    <xf numFmtId="0" fontId="0" fillId="13" borderId="4" xfId="0" applyFill="1" applyBorder="1" applyAlignment="1">
      <alignment/>
    </xf>
    <xf numFmtId="11" fontId="3" fillId="13" borderId="27" xfId="0" applyNumberFormat="1" applyFont="1" applyFill="1" applyBorder="1" applyAlignment="1">
      <alignment horizontal="center"/>
    </xf>
    <xf numFmtId="1" fontId="5" fillId="6" borderId="3" xfId="0" applyNumberFormat="1" applyFont="1" applyFill="1" applyBorder="1" applyAlignment="1">
      <alignment horizontal="center"/>
    </xf>
    <xf numFmtId="11" fontId="5" fillId="6" borderId="3" xfId="0" applyNumberFormat="1" applyFont="1" applyFill="1" applyBorder="1" applyAlignment="1">
      <alignment horizontal="center"/>
    </xf>
    <xf numFmtId="0" fontId="23" fillId="4" borderId="28" xfId="0" applyFont="1" applyFill="1" applyBorder="1" applyAlignment="1">
      <alignment horizontal="right"/>
    </xf>
    <xf numFmtId="11" fontId="23" fillId="4" borderId="12" xfId="0" applyNumberFormat="1" applyFont="1" applyFill="1" applyBorder="1" applyAlignment="1">
      <alignment horizontal="center"/>
    </xf>
    <xf numFmtId="11" fontId="15" fillId="4" borderId="22" xfId="0" applyNumberFormat="1" applyFont="1" applyFill="1" applyBorder="1" applyAlignment="1">
      <alignment horizontal="center"/>
    </xf>
    <xf numFmtId="0" fontId="51" fillId="4" borderId="12" xfId="0" applyFont="1" applyFill="1" applyBorder="1" applyAlignment="1">
      <alignment horizontal="left"/>
    </xf>
    <xf numFmtId="1" fontId="51" fillId="4" borderId="3" xfId="0" applyNumberFormat="1" applyFont="1" applyFill="1" applyBorder="1" applyAlignment="1">
      <alignment horizontal="center"/>
    </xf>
    <xf numFmtId="0" fontId="15" fillId="4" borderId="12" xfId="0" applyFont="1" applyFill="1" applyBorder="1" applyAlignment="1">
      <alignment horizontal="left"/>
    </xf>
    <xf numFmtId="11" fontId="51" fillId="4" borderId="23" xfId="0" applyNumberFormat="1" applyFont="1" applyFill="1" applyBorder="1" applyAlignment="1">
      <alignment horizontal="center"/>
    </xf>
    <xf numFmtId="0" fontId="23" fillId="4" borderId="12" xfId="0" applyFont="1" applyFill="1" applyBorder="1" applyAlignment="1">
      <alignment horizontal="left"/>
    </xf>
    <xf numFmtId="11" fontId="51" fillId="4" borderId="12" xfId="0" applyNumberFormat="1" applyFont="1" applyFill="1" applyBorder="1" applyAlignment="1">
      <alignment horizontal="center"/>
    </xf>
    <xf numFmtId="0" fontId="51" fillId="4" borderId="23" xfId="0" applyFont="1" applyFill="1" applyBorder="1" applyAlignment="1">
      <alignment horizontal="center"/>
    </xf>
    <xf numFmtId="1" fontId="51" fillId="10" borderId="3" xfId="0" applyNumberFormat="1" applyFont="1" applyFill="1" applyBorder="1" applyAlignment="1">
      <alignment horizontal="center"/>
    </xf>
    <xf numFmtId="11" fontId="51" fillId="10" borderId="23" xfId="0" applyNumberFormat="1" applyFont="1" applyFill="1" applyBorder="1" applyAlignment="1">
      <alignment horizontal="center"/>
    </xf>
    <xf numFmtId="1" fontId="51" fillId="4" borderId="3" xfId="0" applyNumberFormat="1" applyFont="1" applyFill="1" applyBorder="1" applyAlignment="1">
      <alignment horizontal="right"/>
    </xf>
    <xf numFmtId="11" fontId="51" fillId="10" borderId="21" xfId="0" applyNumberFormat="1" applyFont="1" applyFill="1" applyBorder="1" applyAlignment="1">
      <alignment horizontal="center"/>
    </xf>
    <xf numFmtId="0" fontId="0" fillId="7" borderId="13" xfId="0" applyFill="1" applyBorder="1" applyAlignment="1">
      <alignment/>
    </xf>
    <xf numFmtId="0" fontId="2" fillId="7" borderId="13" xfId="0" applyFont="1" applyFill="1" applyBorder="1" applyAlignment="1">
      <alignment horizontal="left"/>
    </xf>
    <xf numFmtId="0" fontId="0" fillId="7" borderId="8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7" borderId="1" xfId="0" applyFill="1" applyBorder="1" applyAlignment="1">
      <alignment/>
    </xf>
    <xf numFmtId="11" fontId="6" fillId="7" borderId="1" xfId="0" applyNumberFormat="1" applyFont="1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28" fillId="7" borderId="4" xfId="0" applyFont="1" applyFill="1" applyBorder="1" applyAlignment="1">
      <alignment/>
    </xf>
    <xf numFmtId="0" fontId="5" fillId="7" borderId="4" xfId="0" applyFont="1" applyFill="1" applyBorder="1" applyAlignment="1">
      <alignment horizontal="center"/>
    </xf>
    <xf numFmtId="11" fontId="2" fillId="7" borderId="11" xfId="0" applyNumberFormat="1" applyFont="1" applyFill="1" applyBorder="1" applyAlignment="1">
      <alignment horizontal="left"/>
    </xf>
    <xf numFmtId="164" fontId="5" fillId="7" borderId="3" xfId="0" applyNumberFormat="1" applyFont="1" applyFill="1" applyBorder="1" applyAlignment="1">
      <alignment horizontal="center"/>
    </xf>
    <xf numFmtId="11" fontId="2" fillId="7" borderId="3" xfId="0" applyNumberFormat="1" applyFont="1" applyFill="1" applyBorder="1" applyAlignment="1">
      <alignment horizontal="left"/>
    </xf>
    <xf numFmtId="0" fontId="5" fillId="7" borderId="3" xfId="0" applyFont="1" applyFill="1" applyBorder="1" applyAlignment="1">
      <alignment/>
    </xf>
    <xf numFmtId="11" fontId="2" fillId="7" borderId="3" xfId="0" applyNumberFormat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29" fillId="7" borderId="0" xfId="0" applyFont="1" applyFill="1" applyAlignment="1">
      <alignment horizontal="left"/>
    </xf>
    <xf numFmtId="2" fontId="3" fillId="7" borderId="0" xfId="0" applyNumberFormat="1" applyFont="1" applyFill="1" applyAlignment="1">
      <alignment horizontal="center"/>
    </xf>
    <xf numFmtId="0" fontId="0" fillId="7" borderId="0" xfId="0" applyFill="1" applyAlignment="1">
      <alignment/>
    </xf>
    <xf numFmtId="0" fontId="0" fillId="7" borderId="4" xfId="0" applyFill="1" applyBorder="1" applyAlignment="1">
      <alignment/>
    </xf>
    <xf numFmtId="0" fontId="2" fillId="13" borderId="24" xfId="0" applyFont="1" applyFill="1" applyBorder="1" applyAlignment="1">
      <alignment/>
    </xf>
    <xf numFmtId="0" fontId="0" fillId="14" borderId="17" xfId="0" applyFill="1" applyBorder="1" applyAlignment="1">
      <alignment horizontal="right"/>
    </xf>
    <xf numFmtId="0" fontId="5" fillId="14" borderId="1" xfId="0" applyFont="1" applyFill="1" applyBorder="1" applyAlignment="1">
      <alignment horizontal="center"/>
    </xf>
    <xf numFmtId="11" fontId="11" fillId="14" borderId="4" xfId="0" applyNumberFormat="1" applyFont="1" applyFill="1" applyBorder="1" applyAlignment="1">
      <alignment horizontal="center"/>
    </xf>
    <xf numFmtId="11" fontId="12" fillId="14" borderId="3" xfId="0" applyNumberFormat="1" applyFont="1" applyFill="1" applyBorder="1" applyAlignment="1" applyProtection="1">
      <alignment horizontal="center"/>
      <protection/>
    </xf>
    <xf numFmtId="0" fontId="2" fillId="7" borderId="14" xfId="0" applyFont="1" applyFill="1" applyBorder="1" applyAlignment="1">
      <alignment horizontal="left"/>
    </xf>
    <xf numFmtId="0" fontId="6" fillId="7" borderId="9" xfId="0" applyFont="1" applyFill="1" applyBorder="1" applyAlignment="1">
      <alignment horizontal="center"/>
    </xf>
    <xf numFmtId="11" fontId="5" fillId="7" borderId="9" xfId="0" applyNumberFormat="1" applyFont="1" applyFill="1" applyBorder="1" applyAlignment="1">
      <alignment horizontal="center"/>
    </xf>
    <xf numFmtId="11" fontId="5" fillId="7" borderId="5" xfId="0" applyNumberFormat="1" applyFont="1" applyFill="1" applyBorder="1" applyAlignment="1">
      <alignment horizontal="center"/>
    </xf>
    <xf numFmtId="0" fontId="51" fillId="4" borderId="2" xfId="0" applyFont="1" applyFill="1" applyBorder="1" applyAlignment="1">
      <alignment/>
    </xf>
    <xf numFmtId="0" fontId="8" fillId="9" borderId="0" xfId="0" applyFont="1" applyFill="1" applyBorder="1" applyAlignment="1">
      <alignment horizontal="center"/>
    </xf>
    <xf numFmtId="164" fontId="2" fillId="4" borderId="0" xfId="0" applyNumberFormat="1" applyFont="1" applyFill="1" applyAlignment="1">
      <alignment/>
    </xf>
    <xf numFmtId="0" fontId="0" fillId="7" borderId="13" xfId="0" applyFont="1" applyFill="1" applyBorder="1" applyAlignment="1">
      <alignment horizontal="left"/>
    </xf>
    <xf numFmtId="0" fontId="0" fillId="7" borderId="24" xfId="0" applyFont="1" applyFill="1" applyBorder="1" applyAlignment="1">
      <alignment/>
    </xf>
    <xf numFmtId="0" fontId="0" fillId="3" borderId="13" xfId="0" applyFont="1" applyFill="1" applyBorder="1" applyAlignment="1">
      <alignment horizontal="left"/>
    </xf>
    <xf numFmtId="0" fontId="6" fillId="7" borderId="0" xfId="0" applyFont="1" applyFill="1" applyAlignment="1" quotePrefix="1">
      <alignment horizontal="center"/>
    </xf>
    <xf numFmtId="11" fontId="6" fillId="7" borderId="0" xfId="0" applyNumberFormat="1" applyFont="1" applyFill="1" applyAlignment="1">
      <alignment horizontal="center"/>
    </xf>
    <xf numFmtId="0" fontId="6" fillId="7" borderId="0" xfId="0" applyFont="1" applyFill="1" applyBorder="1" applyAlignment="1">
      <alignment horizontal="center"/>
    </xf>
    <xf numFmtId="0" fontId="9" fillId="11" borderId="0" xfId="0" applyFont="1" applyFill="1" applyAlignment="1">
      <alignment horizontal="right"/>
    </xf>
    <xf numFmtId="11" fontId="3" fillId="11" borderId="0" xfId="0" applyNumberFormat="1" applyFont="1" applyFill="1" applyAlignment="1">
      <alignment/>
    </xf>
    <xf numFmtId="0" fontId="30" fillId="4" borderId="17" xfId="0" applyFont="1" applyFill="1" applyBorder="1" applyAlignment="1">
      <alignment/>
    </xf>
    <xf numFmtId="0" fontId="2" fillId="4" borderId="16" xfId="0" applyFont="1" applyFill="1" applyBorder="1" applyAlignment="1">
      <alignment/>
    </xf>
    <xf numFmtId="0" fontId="16" fillId="4" borderId="4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2" fontId="16" fillId="4" borderId="4" xfId="0" applyNumberFormat="1" applyFont="1" applyFill="1" applyBorder="1" applyAlignment="1">
      <alignment horizontal="center"/>
    </xf>
    <xf numFmtId="0" fontId="0" fillId="4" borderId="8" xfId="0" applyFill="1" applyBorder="1" applyAlignment="1">
      <alignment horizontal="right"/>
    </xf>
    <xf numFmtId="0" fontId="0" fillId="4" borderId="17" xfId="0" applyFill="1" applyBorder="1" applyAlignment="1">
      <alignment horizontal="right"/>
    </xf>
    <xf numFmtId="0" fontId="5" fillId="4" borderId="8" xfId="0" applyFont="1" applyFill="1" applyBorder="1" applyAlignment="1">
      <alignment horizontal="right"/>
    </xf>
    <xf numFmtId="0" fontId="5" fillId="4" borderId="1" xfId="0" applyFont="1" applyFill="1" applyBorder="1" applyAlignment="1">
      <alignment horizontal="center"/>
    </xf>
    <xf numFmtId="11" fontId="11" fillId="4" borderId="4" xfId="0" applyNumberFormat="1" applyFont="1" applyFill="1" applyBorder="1" applyAlignment="1">
      <alignment horizontal="center"/>
    </xf>
    <xf numFmtId="0" fontId="5" fillId="4" borderId="3" xfId="0" applyFont="1" applyFill="1" applyBorder="1" applyAlignment="1">
      <alignment horizontal="right"/>
    </xf>
    <xf numFmtId="11" fontId="12" fillId="4" borderId="3" xfId="0" applyNumberFormat="1" applyFont="1" applyFill="1" applyBorder="1" applyAlignment="1" applyProtection="1">
      <alignment horizontal="center"/>
      <protection/>
    </xf>
    <xf numFmtId="0" fontId="2" fillId="14" borderId="24" xfId="0" applyFont="1" applyFill="1" applyBorder="1" applyAlignment="1">
      <alignment horizontal="left"/>
    </xf>
    <xf numFmtId="0" fontId="0" fillId="14" borderId="13" xfId="0" applyFill="1" applyBorder="1" applyAlignment="1">
      <alignment/>
    </xf>
    <xf numFmtId="0" fontId="2" fillId="14" borderId="13" xfId="0" applyFont="1" applyFill="1" applyBorder="1" applyAlignment="1">
      <alignment horizontal="left"/>
    </xf>
    <xf numFmtId="0" fontId="2" fillId="14" borderId="14" xfId="0" applyFont="1" applyFill="1" applyBorder="1" applyAlignment="1">
      <alignment horizontal="left"/>
    </xf>
    <xf numFmtId="0" fontId="0" fillId="14" borderId="8" xfId="0" applyFill="1" applyBorder="1" applyAlignment="1">
      <alignment horizontal="center"/>
    </xf>
    <xf numFmtId="0" fontId="0" fillId="14" borderId="1" xfId="0" applyFill="1" applyBorder="1" applyAlignment="1">
      <alignment horizontal="center"/>
    </xf>
    <xf numFmtId="0" fontId="0" fillId="14" borderId="1" xfId="0" applyFill="1" applyBorder="1" applyAlignment="1">
      <alignment/>
    </xf>
    <xf numFmtId="0" fontId="0" fillId="14" borderId="4" xfId="0" applyFill="1" applyBorder="1" applyAlignment="1">
      <alignment/>
    </xf>
    <xf numFmtId="11" fontId="6" fillId="14" borderId="9" xfId="0" applyNumberFormat="1" applyFont="1" applyFill="1" applyBorder="1" applyAlignment="1">
      <alignment horizontal="center"/>
    </xf>
    <xf numFmtId="11" fontId="11" fillId="14" borderId="10" xfId="0" applyNumberFormat="1" applyFont="1" applyFill="1" applyBorder="1" applyAlignment="1">
      <alignment horizontal="center"/>
    </xf>
    <xf numFmtId="164" fontId="0" fillId="14" borderId="4" xfId="0" applyNumberFormat="1" applyFill="1" applyBorder="1" applyAlignment="1">
      <alignment horizontal="center"/>
    </xf>
    <xf numFmtId="1" fontId="0" fillId="14" borderId="4" xfId="0" applyNumberFormat="1" applyFill="1" applyBorder="1" applyAlignment="1">
      <alignment horizontal="center"/>
    </xf>
    <xf numFmtId="0" fontId="2" fillId="14" borderId="4" xfId="0" applyFont="1" applyFill="1" applyBorder="1" applyAlignment="1">
      <alignment/>
    </xf>
    <xf numFmtId="11" fontId="5" fillId="14" borderId="9" xfId="0" applyNumberFormat="1" applyFont="1" applyFill="1" applyBorder="1" applyAlignment="1">
      <alignment horizontal="center"/>
    </xf>
    <xf numFmtId="11" fontId="2" fillId="14" borderId="11" xfId="0" applyNumberFormat="1" applyFont="1" applyFill="1" applyBorder="1" applyAlignment="1">
      <alignment horizontal="center"/>
    </xf>
    <xf numFmtId="164" fontId="5" fillId="14" borderId="3" xfId="0" applyNumberFormat="1" applyFont="1" applyFill="1" applyBorder="1" applyAlignment="1">
      <alignment horizontal="center"/>
    </xf>
    <xf numFmtId="1" fontId="5" fillId="14" borderId="3" xfId="0" applyNumberFormat="1" applyFont="1" applyFill="1" applyBorder="1" applyAlignment="1">
      <alignment horizontal="left"/>
    </xf>
    <xf numFmtId="0" fontId="5" fillId="14" borderId="3" xfId="0" applyFont="1" applyFill="1" applyBorder="1" applyAlignment="1">
      <alignment horizontal="left"/>
    </xf>
    <xf numFmtId="11" fontId="5" fillId="14" borderId="5" xfId="0" applyNumberFormat="1" applyFont="1" applyFill="1" applyBorder="1" applyAlignment="1">
      <alignment horizontal="center"/>
    </xf>
    <xf numFmtId="0" fontId="3" fillId="14" borderId="0" xfId="0" applyFont="1" applyFill="1" applyAlignment="1">
      <alignment horizontal="right"/>
    </xf>
    <xf numFmtId="0" fontId="0" fillId="15" borderId="29" xfId="0" applyFill="1" applyBorder="1" applyAlignment="1">
      <alignment/>
    </xf>
    <xf numFmtId="0" fontId="0" fillId="15" borderId="12" xfId="0" applyFill="1" applyBorder="1" applyAlignment="1">
      <alignment/>
    </xf>
    <xf numFmtId="0" fontId="5" fillId="15" borderId="12" xfId="0" applyFont="1" applyFill="1" applyBorder="1" applyAlignment="1">
      <alignment/>
    </xf>
    <xf numFmtId="0" fontId="3" fillId="15" borderId="12" xfId="0" applyFont="1" applyFill="1" applyBorder="1" applyAlignment="1">
      <alignment horizontal="center"/>
    </xf>
    <xf numFmtId="0" fontId="3" fillId="15" borderId="28" xfId="0" applyFont="1" applyFill="1" applyBorder="1" applyAlignment="1">
      <alignment horizontal="center"/>
    </xf>
    <xf numFmtId="0" fontId="5" fillId="15" borderId="12" xfId="0" applyFont="1" applyFill="1" applyBorder="1" applyAlignment="1">
      <alignment horizontal="center"/>
    </xf>
    <xf numFmtId="0" fontId="6" fillId="15" borderId="12" xfId="0" applyFont="1" applyFill="1" applyBorder="1" applyAlignment="1">
      <alignment horizontal="center"/>
    </xf>
    <xf numFmtId="0" fontId="0" fillId="15" borderId="12" xfId="0" applyFill="1" applyBorder="1" applyAlignment="1" quotePrefix="1">
      <alignment horizontal="right"/>
    </xf>
    <xf numFmtId="0" fontId="17" fillId="15" borderId="28" xfId="0" applyFont="1" applyFill="1" applyBorder="1" applyAlignment="1">
      <alignment/>
    </xf>
    <xf numFmtId="0" fontId="2" fillId="12" borderId="13" xfId="0" applyFont="1" applyFill="1" applyBorder="1" applyAlignment="1">
      <alignment horizontal="left"/>
    </xf>
    <xf numFmtId="0" fontId="0" fillId="16" borderId="13" xfId="0" applyFill="1" applyBorder="1" applyAlignment="1">
      <alignment/>
    </xf>
    <xf numFmtId="0" fontId="0" fillId="16" borderId="8" xfId="0" applyFill="1" applyBorder="1" applyAlignment="1">
      <alignment/>
    </xf>
    <xf numFmtId="0" fontId="0" fillId="16" borderId="1" xfId="0" applyFill="1" applyBorder="1" applyAlignment="1">
      <alignment/>
    </xf>
    <xf numFmtId="0" fontId="0" fillId="16" borderId="4" xfId="0" applyFill="1" applyBorder="1" applyAlignment="1">
      <alignment/>
    </xf>
    <xf numFmtId="11" fontId="3" fillId="16" borderId="27" xfId="0" applyNumberFormat="1" applyFont="1" applyFill="1" applyBorder="1" applyAlignment="1">
      <alignment horizontal="center"/>
    </xf>
    <xf numFmtId="1" fontId="5" fillId="12" borderId="3" xfId="0" applyNumberFormat="1" applyFont="1" applyFill="1" applyBorder="1" applyAlignment="1">
      <alignment horizontal="center"/>
    </xf>
    <xf numFmtId="11" fontId="5" fillId="12" borderId="3" xfId="0" applyNumberFormat="1" applyFont="1" applyFill="1" applyBorder="1" applyAlignment="1">
      <alignment horizontal="center"/>
    </xf>
    <xf numFmtId="0" fontId="0" fillId="15" borderId="30" xfId="0" applyFill="1" applyBorder="1" applyAlignment="1">
      <alignment/>
    </xf>
    <xf numFmtId="0" fontId="0" fillId="15" borderId="28" xfId="0" applyFill="1" applyBorder="1" applyAlignment="1">
      <alignment/>
    </xf>
    <xf numFmtId="0" fontId="5" fillId="15" borderId="28" xfId="0" applyFont="1" applyFill="1" applyBorder="1" applyAlignment="1">
      <alignment/>
    </xf>
    <xf numFmtId="0" fontId="6" fillId="15" borderId="28" xfId="0" applyFont="1" applyFill="1" applyBorder="1" applyAlignment="1">
      <alignment horizontal="center"/>
    </xf>
    <xf numFmtId="0" fontId="5" fillId="15" borderId="28" xfId="0" applyFont="1" applyFill="1" applyBorder="1" applyAlignment="1">
      <alignment horizontal="center"/>
    </xf>
    <xf numFmtId="0" fontId="0" fillId="15" borderId="28" xfId="0" applyFill="1" applyBorder="1" applyAlignment="1" quotePrefix="1">
      <alignment horizontal="right"/>
    </xf>
    <xf numFmtId="0" fontId="3" fillId="15" borderId="28" xfId="0" applyFont="1" applyFill="1" applyBorder="1" applyAlignment="1">
      <alignment/>
    </xf>
    <xf numFmtId="0" fontId="5" fillId="15" borderId="28" xfId="0" applyFont="1" applyFill="1" applyBorder="1" applyAlignment="1" quotePrefix="1">
      <alignment/>
    </xf>
    <xf numFmtId="0" fontId="6" fillId="15" borderId="28" xfId="0" applyFont="1" applyFill="1" applyBorder="1" applyAlignment="1">
      <alignment/>
    </xf>
    <xf numFmtId="0" fontId="6" fillId="15" borderId="12" xfId="0" applyFont="1" applyFill="1" applyBorder="1" applyAlignment="1">
      <alignment horizontal="right"/>
    </xf>
    <xf numFmtId="0" fontId="3" fillId="15" borderId="21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left"/>
    </xf>
    <xf numFmtId="0" fontId="5" fillId="4" borderId="3" xfId="0" applyFont="1" applyFill="1" applyBorder="1" applyAlignment="1">
      <alignment horizontal="left"/>
    </xf>
    <xf numFmtId="0" fontId="2" fillId="4" borderId="17" xfId="0" applyFont="1" applyFill="1" applyBorder="1" applyAlignment="1">
      <alignment horizontal="left"/>
    </xf>
    <xf numFmtId="0" fontId="3" fillId="15" borderId="28" xfId="0" applyFont="1" applyFill="1" applyBorder="1" applyAlignment="1">
      <alignment horizontal="left"/>
    </xf>
    <xf numFmtId="11" fontId="24" fillId="4" borderId="0" xfId="0" applyNumberFormat="1" applyFont="1" applyFill="1" applyBorder="1" applyAlignment="1">
      <alignment horizontal="center"/>
    </xf>
    <xf numFmtId="0" fontId="16" fillId="4" borderId="0" xfId="0" applyFont="1" applyFill="1" applyBorder="1" applyAlignment="1">
      <alignment/>
    </xf>
    <xf numFmtId="0" fontId="1" fillId="4" borderId="0" xfId="0" applyFont="1" applyFill="1" applyBorder="1" applyAlignment="1" applyProtection="1">
      <alignment/>
      <protection/>
    </xf>
    <xf numFmtId="0" fontId="21" fillId="4" borderId="0" xfId="0" applyFont="1" applyFill="1" applyBorder="1" applyAlignment="1">
      <alignment/>
    </xf>
    <xf numFmtId="0" fontId="1" fillId="4" borderId="0" xfId="0" applyFont="1" applyFill="1" applyBorder="1" applyAlignment="1">
      <alignment/>
    </xf>
    <xf numFmtId="11" fontId="15" fillId="4" borderId="0" xfId="0" applyNumberFormat="1" applyFont="1" applyFill="1" applyBorder="1" applyAlignment="1">
      <alignment horizontal="center"/>
    </xf>
    <xf numFmtId="0" fontId="18" fillId="4" borderId="0" xfId="0" applyFont="1" applyFill="1" applyBorder="1" applyAlignment="1">
      <alignment horizontal="left"/>
    </xf>
    <xf numFmtId="0" fontId="20" fillId="4" borderId="0" xfId="0" applyFont="1" applyFill="1" applyBorder="1" applyAlignment="1">
      <alignment/>
    </xf>
    <xf numFmtId="0" fontId="16" fillId="4" borderId="0" xfId="0" applyFont="1" applyFill="1" applyBorder="1" applyAlignment="1">
      <alignment horizontal="left"/>
    </xf>
    <xf numFmtId="0" fontId="2" fillId="14" borderId="16" xfId="0" applyFont="1" applyFill="1" applyBorder="1" applyAlignment="1">
      <alignment horizontal="left"/>
    </xf>
    <xf numFmtId="0" fontId="0" fillId="14" borderId="17" xfId="0" applyFill="1" applyBorder="1" applyAlignment="1">
      <alignment/>
    </xf>
    <xf numFmtId="0" fontId="2" fillId="14" borderId="17" xfId="0" applyFont="1" applyFill="1" applyBorder="1" applyAlignment="1">
      <alignment horizontal="left"/>
    </xf>
    <xf numFmtId="0" fontId="2" fillId="14" borderId="31" xfId="0" applyFont="1" applyFill="1" applyBorder="1" applyAlignment="1">
      <alignment horizontal="left"/>
    </xf>
    <xf numFmtId="0" fontId="0" fillId="2" borderId="17" xfId="0" applyFill="1" applyBorder="1" applyAlignment="1">
      <alignment/>
    </xf>
    <xf numFmtId="0" fontId="2" fillId="2" borderId="17" xfId="0" applyFont="1" applyFill="1" applyBorder="1" applyAlignment="1">
      <alignment horizontal="left"/>
    </xf>
    <xf numFmtId="0" fontId="0" fillId="2" borderId="31" xfId="0" applyFill="1" applyBorder="1" applyAlignment="1">
      <alignment/>
    </xf>
    <xf numFmtId="0" fontId="0" fillId="7" borderId="17" xfId="0" applyFill="1" applyBorder="1" applyAlignment="1">
      <alignment/>
    </xf>
    <xf numFmtId="0" fontId="2" fillId="7" borderId="31" xfId="0" applyFont="1" applyFill="1" applyBorder="1" applyAlignment="1">
      <alignment horizontal="left"/>
    </xf>
    <xf numFmtId="0" fontId="3" fillId="15" borderId="28" xfId="0" applyFont="1" applyFill="1" applyBorder="1" applyAlignment="1" quotePrefix="1">
      <alignment horizontal="center"/>
    </xf>
    <xf numFmtId="0" fontId="3" fillId="15" borderId="32" xfId="0" applyFont="1" applyFill="1" applyBorder="1" applyAlignment="1" quotePrefix="1">
      <alignment/>
    </xf>
    <xf numFmtId="0" fontId="2" fillId="16" borderId="14" xfId="0" applyFont="1" applyFill="1" applyBorder="1" applyAlignment="1">
      <alignment horizontal="left"/>
    </xf>
    <xf numFmtId="0" fontId="3" fillId="16" borderId="33" xfId="0" applyFont="1" applyFill="1" applyBorder="1" applyAlignment="1">
      <alignment horizontal="center"/>
    </xf>
    <xf numFmtId="0" fontId="0" fillId="16" borderId="10" xfId="0" applyFill="1" applyBorder="1" applyAlignment="1">
      <alignment/>
    </xf>
    <xf numFmtId="11" fontId="3" fillId="16" borderId="9" xfId="0" applyNumberFormat="1" applyFont="1" applyFill="1" applyBorder="1" applyAlignment="1">
      <alignment horizontal="center"/>
    </xf>
    <xf numFmtId="1" fontId="5" fillId="12" borderId="11" xfId="0" applyNumberFormat="1" applyFont="1" applyFill="1" applyBorder="1" applyAlignment="1">
      <alignment horizontal="center"/>
    </xf>
    <xf numFmtId="11" fontId="5" fillId="12" borderId="5" xfId="0" applyNumberFormat="1" applyFont="1" applyFill="1" applyBorder="1" applyAlignment="1">
      <alignment horizontal="center"/>
    </xf>
    <xf numFmtId="1" fontId="51" fillId="4" borderId="11" xfId="0" applyNumberFormat="1" applyFont="1" applyFill="1" applyBorder="1" applyAlignment="1">
      <alignment horizontal="right"/>
    </xf>
    <xf numFmtId="0" fontId="12" fillId="12" borderId="24" xfId="0" applyFont="1" applyFill="1" applyBorder="1" applyAlignment="1">
      <alignment horizontal="left"/>
    </xf>
    <xf numFmtId="11" fontId="3" fillId="4" borderId="0" xfId="0" applyNumberFormat="1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3" fillId="4" borderId="0" xfId="0" applyFont="1" applyFill="1" applyAlignment="1" quotePrefix="1">
      <alignment horizontal="center"/>
    </xf>
    <xf numFmtId="2" fontId="3" fillId="4" borderId="0" xfId="0" applyNumberFormat="1" applyFont="1" applyFill="1" applyAlignment="1">
      <alignment horizontal="center"/>
    </xf>
    <xf numFmtId="11" fontId="3" fillId="4" borderId="0" xfId="0" applyNumberFormat="1" applyFont="1" applyFill="1" applyAlignment="1">
      <alignment/>
    </xf>
    <xf numFmtId="0" fontId="6" fillId="4" borderId="0" xfId="0" applyFont="1" applyFill="1" applyAlignment="1">
      <alignment horizontal="right"/>
    </xf>
    <xf numFmtId="0" fontId="6" fillId="4" borderId="0" xfId="0" applyFont="1" applyFill="1" applyAlignment="1" quotePrefix="1">
      <alignment horizontal="center"/>
    </xf>
    <xf numFmtId="11" fontId="6" fillId="2" borderId="0" xfId="0" applyNumberFormat="1" applyFont="1" applyFill="1" applyAlignment="1">
      <alignment horizontal="center"/>
    </xf>
    <xf numFmtId="0" fontId="3" fillId="4" borderId="0" xfId="0" applyFont="1" applyFill="1" applyAlignment="1">
      <alignment horizontal="left"/>
    </xf>
    <xf numFmtId="0" fontId="16" fillId="14" borderId="0" xfId="0" applyFont="1" applyFill="1" applyAlignment="1">
      <alignment horizontal="left"/>
    </xf>
    <xf numFmtId="0" fontId="16" fillId="14" borderId="0" xfId="0" applyFont="1" applyFill="1" applyAlignment="1" quotePrefix="1">
      <alignment horizontal="center"/>
    </xf>
    <xf numFmtId="11" fontId="16" fillId="14" borderId="0" xfId="0" applyNumberFormat="1" applyFont="1" applyFill="1" applyAlignment="1">
      <alignment horizontal="right"/>
    </xf>
    <xf numFmtId="0" fontId="6" fillId="15" borderId="28" xfId="0" applyFont="1" applyFill="1" applyBorder="1" applyAlignment="1" quotePrefix="1">
      <alignment/>
    </xf>
    <xf numFmtId="0" fontId="2" fillId="10" borderId="34" xfId="0" applyFont="1" applyFill="1" applyBorder="1" applyAlignment="1">
      <alignment horizontal="left"/>
    </xf>
    <xf numFmtId="0" fontId="7" fillId="4" borderId="35" xfId="0" applyFont="1" applyFill="1" applyBorder="1" applyAlignment="1">
      <alignment vertical="justify"/>
    </xf>
    <xf numFmtId="11" fontId="51" fillId="10" borderId="36" xfId="0" applyNumberFormat="1" applyFont="1" applyFill="1" applyBorder="1" applyAlignment="1">
      <alignment horizontal="center"/>
    </xf>
    <xf numFmtId="0" fontId="43" fillId="4" borderId="20" xfId="0" applyFont="1" applyFill="1" applyBorder="1" applyAlignment="1">
      <alignment horizontal="left"/>
    </xf>
    <xf numFmtId="0" fontId="53" fillId="15" borderId="28" xfId="0" applyFont="1" applyFill="1" applyBorder="1" applyAlignment="1">
      <alignment/>
    </xf>
    <xf numFmtId="0" fontId="2" fillId="2" borderId="16" xfId="0" applyFont="1" applyFill="1" applyBorder="1" applyAlignment="1">
      <alignment/>
    </xf>
    <xf numFmtId="0" fontId="16" fillId="10" borderId="37" xfId="0" applyFont="1" applyFill="1" applyBorder="1" applyAlignment="1">
      <alignment horizontal="center" vertical="justify"/>
    </xf>
    <xf numFmtId="11" fontId="16" fillId="4" borderId="36" xfId="0" applyNumberFormat="1" applyFont="1" applyFill="1" applyBorder="1" applyAlignment="1">
      <alignment horizontal="center" vertical="justify"/>
    </xf>
    <xf numFmtId="11" fontId="7" fillId="4" borderId="0" xfId="0" applyNumberFormat="1" applyFont="1" applyFill="1" applyBorder="1" applyAlignment="1">
      <alignment horizontal="center" vertical="justify"/>
    </xf>
    <xf numFmtId="11" fontId="16" fillId="4" borderId="38" xfId="0" applyNumberFormat="1" applyFont="1" applyFill="1" applyBorder="1" applyAlignment="1">
      <alignment horizontal="center" vertical="justify"/>
    </xf>
    <xf numFmtId="11" fontId="16" fillId="4" borderId="39" xfId="0" applyNumberFormat="1" applyFont="1" applyFill="1" applyBorder="1" applyAlignment="1">
      <alignment horizontal="center" vertical="justify"/>
    </xf>
    <xf numFmtId="0" fontId="2" fillId="7" borderId="17" xfId="0" applyFont="1" applyFill="1" applyBorder="1" applyAlignment="1">
      <alignment horizontal="left"/>
    </xf>
    <xf numFmtId="0" fontId="2" fillId="14" borderId="17" xfId="0" applyFont="1" applyFill="1" applyBorder="1" applyAlignment="1">
      <alignment/>
    </xf>
    <xf numFmtId="0" fontId="3" fillId="15" borderId="28" xfId="0" applyFont="1" applyFill="1" applyBorder="1" applyAlignment="1">
      <alignment horizontal="left" vertical="justify"/>
    </xf>
    <xf numFmtId="0" fontId="5" fillId="2" borderId="3" xfId="0" applyFont="1" applyFill="1" applyBorder="1" applyAlignment="1" quotePrefix="1">
      <alignment/>
    </xf>
    <xf numFmtId="0" fontId="0" fillId="4" borderId="0" xfId="0" applyFill="1" applyAlignment="1">
      <alignment horizontal="center" vertical="justify"/>
    </xf>
    <xf numFmtId="0" fontId="0" fillId="4" borderId="0" xfId="0" applyFont="1" applyFill="1" applyBorder="1" applyAlignment="1" applyProtection="1">
      <alignment/>
      <protection hidden="1"/>
    </xf>
    <xf numFmtId="0" fontId="0" fillId="4" borderId="0" xfId="0" applyFont="1" applyFill="1" applyBorder="1" applyAlignment="1">
      <alignment/>
    </xf>
    <xf numFmtId="0" fontId="3" fillId="15" borderId="28" xfId="0" applyFont="1" applyFill="1" applyBorder="1" applyAlignment="1">
      <alignment horizontal="center" vertical="justify"/>
    </xf>
    <xf numFmtId="0" fontId="0" fillId="4" borderId="25" xfId="0" applyFill="1" applyBorder="1" applyAlignment="1">
      <alignment/>
    </xf>
    <xf numFmtId="0" fontId="16" fillId="10" borderId="27" xfId="0" applyFont="1" applyFill="1" applyBorder="1" applyAlignment="1">
      <alignment horizontal="center" vertical="justify"/>
    </xf>
    <xf numFmtId="0" fontId="6" fillId="15" borderId="28" xfId="0" applyFont="1" applyFill="1" applyBorder="1" applyAlignment="1">
      <alignment horizontal="left"/>
    </xf>
    <xf numFmtId="0" fontId="2" fillId="2" borderId="13" xfId="0" applyFont="1" applyFill="1" applyBorder="1" applyAlignment="1">
      <alignment/>
    </xf>
    <xf numFmtId="0" fontId="2" fillId="14" borderId="13" xfId="0" applyFont="1" applyFill="1" applyBorder="1" applyAlignment="1">
      <alignment/>
    </xf>
    <xf numFmtId="0" fontId="12" fillId="0" borderId="18" xfId="0" applyFont="1" applyBorder="1" applyAlignment="1">
      <alignment vertical="justify" wrapText="1"/>
    </xf>
    <xf numFmtId="11" fontId="16" fillId="4" borderId="35" xfId="0" applyNumberFormat="1" applyFont="1" applyFill="1" applyBorder="1" applyAlignment="1">
      <alignment horizontal="center" vertical="justify"/>
    </xf>
    <xf numFmtId="0" fontId="0" fillId="4" borderId="40" xfId="0" applyFill="1" applyBorder="1" applyAlignment="1">
      <alignment/>
    </xf>
    <xf numFmtId="11" fontId="0" fillId="0" borderId="0" xfId="0" applyNumberFormat="1" applyAlignment="1">
      <alignment/>
    </xf>
    <xf numFmtId="1" fontId="12" fillId="4" borderId="0" xfId="0" applyNumberFormat="1" applyFont="1" applyFill="1" applyAlignment="1">
      <alignment horizontal="left"/>
    </xf>
    <xf numFmtId="11" fontId="0" fillId="4" borderId="0" xfId="0" applyNumberFormat="1" applyFill="1" applyAlignment="1">
      <alignment/>
    </xf>
    <xf numFmtId="11" fontId="16" fillId="2" borderId="1" xfId="0" applyNumberFormat="1" applyFont="1" applyFill="1" applyBorder="1" applyAlignment="1">
      <alignment horizontal="center"/>
    </xf>
    <xf numFmtId="11" fontId="12" fillId="2" borderId="11" xfId="0" applyNumberFormat="1" applyFont="1" applyFill="1" applyBorder="1" applyAlignment="1">
      <alignment horizontal="left"/>
    </xf>
    <xf numFmtId="0" fontId="1" fillId="4" borderId="0" xfId="0" applyFont="1" applyFill="1" applyAlignment="1">
      <alignment/>
    </xf>
    <xf numFmtId="0" fontId="56" fillId="4" borderId="12" xfId="0" applyFont="1" applyFill="1" applyBorder="1" applyAlignment="1">
      <alignment horizontal="left"/>
    </xf>
    <xf numFmtId="11" fontId="0" fillId="4" borderId="0" xfId="0" applyNumberFormat="1" applyFont="1" applyFill="1" applyAlignment="1">
      <alignment/>
    </xf>
    <xf numFmtId="0" fontId="11" fillId="6" borderId="11" xfId="0" applyFont="1" applyFill="1" applyBorder="1" applyAlignment="1">
      <alignment horizontal="center"/>
    </xf>
    <xf numFmtId="11" fontId="11" fillId="2" borderId="3" xfId="0" applyNumberFormat="1" applyFont="1" applyFill="1" applyBorder="1" applyAlignment="1">
      <alignment horizontal="left"/>
    </xf>
    <xf numFmtId="0" fontId="11" fillId="14" borderId="3" xfId="0" applyFont="1" applyFill="1" applyBorder="1" applyAlignment="1">
      <alignment horizontal="left"/>
    </xf>
    <xf numFmtId="0" fontId="12" fillId="7" borderId="3" xfId="0" applyFont="1" applyFill="1" applyBorder="1" applyAlignment="1">
      <alignment horizontal="left"/>
    </xf>
    <xf numFmtId="0" fontId="12" fillId="12" borderId="3" xfId="0" applyFont="1" applyFill="1" applyBorder="1" applyAlignment="1">
      <alignment horizontal="left"/>
    </xf>
    <xf numFmtId="0" fontId="60" fillId="4" borderId="12" xfId="0" applyFont="1" applyFill="1" applyBorder="1" applyAlignment="1">
      <alignment horizontal="left"/>
    </xf>
    <xf numFmtId="0" fontId="56" fillId="10" borderId="12" xfId="0" applyFont="1" applyFill="1" applyBorder="1" applyAlignment="1">
      <alignment horizontal="left"/>
    </xf>
    <xf numFmtId="0" fontId="12" fillId="16" borderId="3" xfId="0" applyFont="1" applyFill="1" applyBorder="1" applyAlignment="1">
      <alignment/>
    </xf>
    <xf numFmtId="1" fontId="5" fillId="7" borderId="3" xfId="0" applyNumberFormat="1" applyFont="1" applyFill="1" applyBorder="1" applyAlignment="1">
      <alignment horizontal="right"/>
    </xf>
    <xf numFmtId="1" fontId="2" fillId="14" borderId="3" xfId="0" applyNumberFormat="1" applyFont="1" applyFill="1" applyBorder="1" applyAlignment="1">
      <alignment horizontal="left"/>
    </xf>
    <xf numFmtId="0" fontId="11" fillId="14" borderId="3" xfId="0" applyFont="1" applyFill="1" applyBorder="1" applyAlignment="1">
      <alignment horizontal="right"/>
    </xf>
    <xf numFmtId="0" fontId="61" fillId="4" borderId="0" xfId="0" applyFont="1" applyFill="1" applyAlignment="1">
      <alignment/>
    </xf>
    <xf numFmtId="0" fontId="11" fillId="4" borderId="11" xfId="0" applyFont="1" applyFill="1" applyBorder="1" applyAlignment="1">
      <alignment horizontal="center"/>
    </xf>
    <xf numFmtId="0" fontId="12" fillId="11" borderId="3" xfId="0" applyFont="1" applyFill="1" applyBorder="1" applyAlignment="1">
      <alignment horizontal="left"/>
    </xf>
    <xf numFmtId="0" fontId="12" fillId="3" borderId="3" xfId="0" applyFont="1" applyFill="1" applyBorder="1" applyAlignment="1">
      <alignment horizontal="left"/>
    </xf>
    <xf numFmtId="0" fontId="12" fillId="6" borderId="3" xfId="0" applyFont="1" applyFill="1" applyBorder="1" applyAlignment="1">
      <alignment horizontal="left"/>
    </xf>
    <xf numFmtId="11" fontId="16" fillId="4" borderId="41" xfId="0" applyNumberFormat="1" applyFont="1" applyFill="1" applyBorder="1" applyAlignment="1">
      <alignment horizontal="right"/>
    </xf>
    <xf numFmtId="0" fontId="5" fillId="15" borderId="12" xfId="0" applyFont="1" applyFill="1" applyBorder="1" applyAlignment="1" quotePrefix="1">
      <alignment/>
    </xf>
    <xf numFmtId="11" fontId="51" fillId="4" borderId="0" xfId="0" applyNumberFormat="1" applyFont="1" applyFill="1" applyAlignment="1">
      <alignment horizontal="left"/>
    </xf>
    <xf numFmtId="0" fontId="62" fillId="4" borderId="0" xfId="0" applyFont="1" applyFill="1" applyAlignment="1">
      <alignment/>
    </xf>
    <xf numFmtId="0" fontId="63" fillId="4" borderId="0" xfId="0" applyFont="1" applyFill="1" applyBorder="1" applyAlignment="1">
      <alignment horizontal="center"/>
    </xf>
    <xf numFmtId="11" fontId="12" fillId="2" borderId="3" xfId="0" applyNumberFormat="1" applyFont="1" applyFill="1" applyBorder="1" applyAlignment="1">
      <alignment horizontal="left"/>
    </xf>
    <xf numFmtId="11" fontId="29" fillId="4" borderId="12" xfId="0" applyNumberFormat="1" applyFont="1" applyFill="1" applyBorder="1" applyAlignment="1">
      <alignment horizontal="center"/>
    </xf>
    <xf numFmtId="0" fontId="30" fillId="4" borderId="12" xfId="0" applyFont="1" applyFill="1" applyBorder="1" applyAlignment="1">
      <alignment horizontal="center"/>
    </xf>
    <xf numFmtId="0" fontId="2" fillId="13" borderId="3" xfId="0" applyFont="1" applyFill="1" applyBorder="1" applyAlignment="1">
      <alignment/>
    </xf>
    <xf numFmtId="0" fontId="64" fillId="4" borderId="12" xfId="0" applyFont="1" applyFill="1" applyBorder="1" applyAlignment="1">
      <alignment horizontal="left"/>
    </xf>
    <xf numFmtId="11" fontId="1" fillId="4" borderId="0" xfId="0" applyNumberFormat="1" applyFont="1" applyFill="1" applyAlignment="1">
      <alignment/>
    </xf>
    <xf numFmtId="0" fontId="1" fillId="0" borderId="0" xfId="0" applyFont="1" applyAlignment="1">
      <alignment/>
    </xf>
    <xf numFmtId="0" fontId="65" fillId="0" borderId="2" xfId="0" applyFont="1" applyBorder="1" applyAlignment="1">
      <alignment/>
    </xf>
    <xf numFmtId="0" fontId="0" fillId="11" borderId="0" xfId="0" applyFill="1" applyBorder="1" applyAlignment="1">
      <alignment/>
    </xf>
    <xf numFmtId="0" fontId="0" fillId="0" borderId="0" xfId="0" applyFill="1" applyBorder="1" applyAlignment="1">
      <alignment/>
    </xf>
    <xf numFmtId="0" fontId="11" fillId="0" borderId="18" xfId="0" applyFont="1" applyBorder="1" applyAlignment="1">
      <alignment vertical="justify" wrapText="1"/>
    </xf>
    <xf numFmtId="11" fontId="12" fillId="4" borderId="0" xfId="0" applyNumberFormat="1" applyFont="1" applyFill="1" applyBorder="1" applyAlignment="1" applyProtection="1">
      <alignment horizontal="center"/>
      <protection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dxfs count="3">
    <dxf>
      <fill>
        <patternFill>
          <bgColor rgb="FFFFCC99"/>
        </patternFill>
      </fill>
      <border>
        <left>
          <color rgb="FF000000"/>
        </left>
        <right>
          <color rgb="FF000000"/>
        </right>
        <top style="thin">
          <color rgb="FF000000"/>
        </top>
        <bottom>
          <color rgb="FF000000"/>
        </bottom>
      </border>
    </dxf>
    <dxf>
      <fill>
        <patternFill>
          <bgColor rgb="FFFF0000"/>
        </patternFill>
      </fill>
      <border/>
    </dxf>
    <dxf>
      <font>
        <color rgb="FFFF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5825"/>
          <c:y val="0.0275"/>
          <c:w val="0.3135"/>
          <c:h val="0.94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FF"/>
              </a:solidFill>
            </c:spPr>
          </c:dPt>
          <c:val>
            <c:numRef>
              <c:f>'dosage d''oxydo-réduction'!$E$3</c:f>
              <c:numCache/>
            </c:numRef>
          </c:val>
        </c:ser>
        <c:gapWidth val="40"/>
        <c:axId val="31978074"/>
        <c:axId val="19367211"/>
      </c:barChart>
      <c:catAx>
        <c:axId val="31978074"/>
        <c:scaling>
          <c:orientation val="minMax"/>
        </c:scaling>
        <c:axPos val="b"/>
        <c:delete val="1"/>
        <c:majorTickMark val="out"/>
        <c:minorTickMark val="none"/>
        <c:tickLblPos val="nextTo"/>
        <c:crossAx val="19367211"/>
        <c:crosses val="autoZero"/>
        <c:auto val="1"/>
        <c:lblOffset val="100"/>
        <c:noMultiLvlLbl val="0"/>
      </c:catAx>
      <c:valAx>
        <c:axId val="19367211"/>
        <c:scaling>
          <c:orientation val="minMax"/>
          <c:max val="25"/>
          <c:min val="0"/>
        </c:scaling>
        <c:axPos val="l"/>
        <c:delete val="1"/>
        <c:majorTickMark val="out"/>
        <c:minorTickMark val="none"/>
        <c:tickLblPos val="nextTo"/>
        <c:crossAx val="3197807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Evolution des quantités de matière dans le bécher en fonction du volume versé</a:t>
            </a:r>
          </a:p>
        </c:rich>
      </c:tx>
      <c:layout>
        <c:manualLayout>
          <c:xMode val="factor"/>
          <c:yMode val="factor"/>
          <c:x val="0.026"/>
          <c:y val="-0.019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8625"/>
          <c:w val="0.9925"/>
          <c:h val="0.913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99CC"/>
              </a:solidFill>
              <a:ln w="12700">
                <a:solidFill/>
              </a:ln>
            </c:spPr>
          </c:dPt>
          <c:dPt>
            <c:idx val="1"/>
            <c:invertIfNegative val="0"/>
            <c:spPr>
              <a:solidFill>
                <a:srgbClr val="FFFF00"/>
              </a:solidFill>
              <a:ln w="12700">
                <a:solidFill/>
              </a:ln>
            </c:spPr>
          </c:dPt>
          <c:dPt>
            <c:idx val="2"/>
            <c:invertIfNegative val="0"/>
            <c:spPr>
              <a:solidFill>
                <a:srgbClr val="33CCCC"/>
              </a:solidFill>
              <a:ln w="12700">
                <a:solidFill/>
              </a:ln>
            </c:spPr>
          </c:dPt>
          <c:dPt>
            <c:idx val="3"/>
            <c:invertIfNegative val="0"/>
            <c:spPr>
              <a:solidFill>
                <a:srgbClr val="FFCC99"/>
              </a:solidFill>
              <a:ln w="12700">
                <a:solid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I</a:t>
                    </a:r>
                    <a:r>
                      <a:rPr lang="en-US" cap="none" sz="1000" b="0" i="0" u="none" baseline="-25000">
                        <a:latin typeface="Arial"/>
                        <a:ea typeface="Arial"/>
                        <a:cs typeface="Arial"/>
                      </a:rPr>
                      <a:t>2(aq)</a:t>
                    </a:r>
                  </a:p>
                </c:rich>
              </c:tx>
              <c:numFmt formatCode="General" sourceLinked="1"/>
              <c:spPr>
                <a:solidFill>
                  <a:srgbClr val="FF99CC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S</a:t>
                    </a:r>
                    <a:r>
                      <a:rPr lang="en-US" cap="none" sz="1000" b="0" i="0" u="none" baseline="-25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O</a:t>
                    </a:r>
                    <a:r>
                      <a:rPr lang="en-US" cap="none" sz="1000" b="0" i="0" u="none" baseline="-25000">
                        <a:latin typeface="Arial"/>
                        <a:ea typeface="Arial"/>
                        <a:cs typeface="Arial"/>
                      </a:rPr>
                      <a:t>3</a:t>
                    </a:r>
                    <a:r>
                      <a:rPr lang="en-US" cap="none" sz="1000" b="0" i="0" u="none" baseline="30000">
                        <a:latin typeface="Arial"/>
                        <a:ea typeface="Arial"/>
                        <a:cs typeface="Arial"/>
                      </a:rPr>
                      <a:t>2-</a:t>
                    </a:r>
                    <a:r>
                      <a:rPr lang="en-US" cap="none" sz="1000" b="0" i="0" u="none" baseline="-25000">
                        <a:latin typeface="Arial"/>
                        <a:ea typeface="Arial"/>
                        <a:cs typeface="Arial"/>
                      </a:rPr>
                      <a:t>(aq)</a:t>
                    </a:r>
                  </a:p>
                </c:rich>
              </c:tx>
              <c:numFmt formatCode="General" sourceLinked="1"/>
              <c:spPr>
                <a:solidFill>
                  <a:srgbClr val="FFFF00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 </a:t>
                    </a: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I</a:t>
                    </a:r>
                    <a:r>
                      <a:rPr lang="en-US" cap="none" sz="1000" b="0" i="0" u="none" baseline="30000">
                        <a:latin typeface="Arial"/>
                        <a:ea typeface="Arial"/>
                        <a:cs typeface="Arial"/>
                      </a:rPr>
                      <a:t>-</a:t>
                    </a:r>
                    <a:r>
                      <a:rPr lang="en-US" cap="none" sz="1000" b="0" i="0" u="none" baseline="-25000">
                        <a:latin typeface="Arial"/>
                        <a:ea typeface="Arial"/>
                        <a:cs typeface="Arial"/>
                      </a:rPr>
                      <a:t>(aq)</a:t>
                    </a:r>
                  </a:p>
                </c:rich>
              </c:tx>
              <c:numFmt formatCode="General" sourceLinked="1"/>
              <c:spPr>
                <a:solidFill>
                  <a:srgbClr val="33CCCC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S</a:t>
                    </a:r>
                    <a:r>
                      <a:rPr lang="en-US" cap="none" sz="1000" b="0" i="0" u="none" baseline="-25000">
                        <a:latin typeface="Arial"/>
                        <a:ea typeface="Arial"/>
                        <a:cs typeface="Arial"/>
                      </a:rPr>
                      <a:t>4</a:t>
                    </a: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O</a:t>
                    </a:r>
                    <a:r>
                      <a:rPr lang="en-US" cap="none" sz="1000" b="0" i="0" u="none" baseline="-25000">
                        <a:latin typeface="Arial"/>
                        <a:ea typeface="Arial"/>
                        <a:cs typeface="Arial"/>
                      </a:rPr>
                      <a:t>6</a:t>
                    </a:r>
                    <a:r>
                      <a:rPr lang="en-US" cap="none" sz="1000" b="0" i="0" u="none" baseline="30000">
                        <a:latin typeface="Arial"/>
                        <a:ea typeface="Arial"/>
                        <a:cs typeface="Arial"/>
                      </a:rPr>
                      <a:t>2-</a:t>
                    </a:r>
                    <a:r>
                      <a:rPr lang="en-US" cap="none" sz="1000" b="0" i="0" u="none" baseline="-25000">
                        <a:latin typeface="Arial"/>
                        <a:ea typeface="Arial"/>
                        <a:cs typeface="Arial"/>
                      </a:rPr>
                      <a:t>(aq)</a:t>
                    </a:r>
                  </a:p>
                </c:rich>
              </c:tx>
              <c:numFmt formatCode="General" sourceLinked="1"/>
              <c:spPr>
                <a:solidFill>
                  <a:srgbClr val="FFCC9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('dosage d''oxydo-réduction (2)'!$AB$6,'dosage d''oxydo-réduction (2)'!$Q$6,'dosage d''oxydo-réduction (2)'!$U$6,'dosage d''oxydo-réduction (2)'!$AC$6)</c:f>
              <c:strCache/>
            </c:strRef>
          </c:cat>
          <c:val>
            <c:numRef>
              <c:f>('dosage d''oxydo-réduction (2)'!$K$10,'dosage d''oxydo-réduction (2)'!$Q$10,'dosage d''oxydo-réduction (2)'!$U$10,'dosage d''oxydo-réduction (2)'!$X$10)</c:f>
              <c:numCache/>
            </c:numRef>
          </c:val>
          <c:shape val="box"/>
        </c:ser>
        <c:shape val="box"/>
        <c:axId val="3846228"/>
        <c:axId val="34616053"/>
      </c:bar3DChart>
      <c:catAx>
        <c:axId val="3846228"/>
        <c:scaling>
          <c:orientation val="minMax"/>
        </c:scaling>
        <c:axPos val="b"/>
        <c:majorGridlines/>
        <c:delete val="1"/>
        <c:majorTickMark val="out"/>
        <c:minorTickMark val="none"/>
        <c:tickLblPos val="low"/>
        <c:crossAx val="34616053"/>
        <c:crossesAt val="0"/>
        <c:auto val="1"/>
        <c:lblOffset val="100"/>
        <c:noMultiLvlLbl val="0"/>
      </c:catAx>
      <c:valAx>
        <c:axId val="34616053"/>
        <c:scaling>
          <c:orientation val="minMax"/>
          <c:max val="0.0014700000000000002"/>
          <c:min val="0"/>
        </c:scaling>
        <c:axPos val="l"/>
        <c:majorGridlines/>
        <c:delete val="0"/>
        <c:numFmt formatCode="0.00E+00" sourceLinked="0"/>
        <c:majorTickMark val="out"/>
        <c:minorTickMark val="none"/>
        <c:tickLblPos val="nextTo"/>
        <c:spPr>
          <a:ln w="25400">
            <a:solidFill/>
          </a:ln>
        </c:spPr>
        <c:crossAx val="3846228"/>
        <c:crossesAt val="1"/>
        <c:crossBetween val="between"/>
        <c:dispUnits/>
        <c:majorUnit val="0.00014700000000000002"/>
        <c:minorUnit val="1.3E-05"/>
      </c:val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CCFFCC"/>
    </a:solidFill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00" b="1" i="0" u="none" baseline="0">
                <a:latin typeface="Arial"/>
                <a:ea typeface="Arial"/>
                <a:cs typeface="Arial"/>
              </a:rPr>
              <a:t>Evolution des quantités de matière en fonction de l'avancement</a:t>
            </a:r>
          </a:p>
        </c:rich>
      </c:tx>
      <c:layout>
        <c:manualLayout>
          <c:xMode val="factor"/>
          <c:yMode val="factor"/>
          <c:x val="0.023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04675"/>
          <c:w val="0.948"/>
          <c:h val="0.867"/>
        </c:manualLayout>
      </c:layout>
      <c:scatterChart>
        <c:scatterStyle val="smooth"/>
        <c:varyColors val="0"/>
        <c:ser>
          <c:idx val="0"/>
          <c:order val="0"/>
          <c:tx>
            <c:strRef>
              <c:f>'Avancement_ (2)'!$AA$6</c:f>
              <c:strCache>
                <c:ptCount val="1"/>
                <c:pt idx="0">
                  <c:v>I2(aq)</c:v>
                </c:pt>
              </c:strCache>
            </c:strRef>
          </c:tx>
          <c:spPr>
            <a:ln w="381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'Avancement_ (2)'!$C$8:$C$10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xVal>
          <c:yVal>
            <c:numRef>
              <c:f>'Avancement_ (2)'!$J$8:$J$10</c:f>
              <c:numCache>
                <c:ptCount val="3"/>
                <c:pt idx="0">
                  <c:v>0.0007000000000000001</c:v>
                </c:pt>
                <c:pt idx="1">
                  <c:v>0.0007000000000000001</c:v>
                </c:pt>
                <c:pt idx="2">
                  <c:v>0.0007000000000000001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'Avancement_ (2)'!$P$6</c:f>
              <c:strCache>
                <c:ptCount val="1"/>
                <c:pt idx="0">
                  <c:v>S2O32-(aq)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'Avancement_ (2)'!$C$8:$C$10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xVal>
          <c:yVal>
            <c:numRef>
              <c:f>('Avancement_ (2)'!$P$8,'Avancement_ (2)'!$P$10:$P$10)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'Avancement_ (2)'!$T$6</c:f>
              <c:strCache>
                <c:ptCount val="1"/>
                <c:pt idx="0">
                  <c:v>I-(aq)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'Avancement_ (2)'!$C$8:$C$10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xVal>
          <c:yVal>
            <c:numRef>
              <c:f>'Avancement_ (2)'!$T$8:$T$10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'Avancement_ (2)'!$AB$6</c:f>
              <c:strCache>
                <c:ptCount val="1"/>
                <c:pt idx="0">
                  <c:v>S4O62-(aq)</c:v>
                </c:pt>
              </c:strCache>
            </c:strRef>
          </c:tx>
          <c:spPr>
            <a:ln w="381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'Avancement_ (2)'!$C$8:$C$10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xVal>
          <c:yVal>
            <c:numRef>
              <c:f>'Avancement_ (2)'!$W$8:$W$10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1"/>
        </c:ser>
        <c:axId val="43109022"/>
        <c:axId val="52436879"/>
      </c:scatterChart>
      <c:valAx>
        <c:axId val="43109022"/>
        <c:scaling>
          <c:orientation val="minMax"/>
          <c:max val="0.0007700000000000002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1" i="0" u="none" baseline="0">
                    <a:latin typeface="Arial"/>
                    <a:ea typeface="Arial"/>
                    <a:cs typeface="Arial"/>
                  </a:rPr>
                  <a:t>Avancement X</a:t>
                </a:r>
                <a:r>
                  <a:rPr lang="en-US" cap="none" sz="1000" b="1" i="0" u="none" baseline="-25000">
                    <a:latin typeface="Arial"/>
                    <a:ea typeface="Arial"/>
                    <a:cs typeface="Arial"/>
                  </a:rPr>
                  <a:t>max</a:t>
                </a:r>
                <a:r>
                  <a:rPr lang="en-US" cap="none" sz="600" b="1" i="0" u="none" baseline="0">
                    <a:latin typeface="Arial"/>
                    <a:ea typeface="Arial"/>
                    <a:cs typeface="Arial"/>
                  </a:rPr>
                  <a:t> en mol</a:t>
                </a:r>
              </a:p>
            </c:rich>
          </c:tx>
          <c:layout>
            <c:manualLayout>
              <c:xMode val="factor"/>
              <c:yMode val="factor"/>
              <c:x val="0.0035"/>
              <c:y val="0.104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none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52436879"/>
        <c:crosses val="autoZero"/>
        <c:crossBetween val="midCat"/>
        <c:dispUnits/>
        <c:majorUnit val="7.000000000000002E-05"/>
      </c:valAx>
      <c:valAx>
        <c:axId val="52436879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Mol</a:t>
                </a:r>
              </a:p>
            </c:rich>
          </c:tx>
          <c:layout>
            <c:manualLayout>
              <c:xMode val="factor"/>
              <c:yMode val="factor"/>
              <c:x val="0.02525"/>
              <c:y val="0.14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none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310902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9925"/>
          <c:w val="0.71175"/>
          <c:h val="0.09"/>
        </c:manualLayout>
      </c:layout>
      <c:overlay val="0"/>
      <c:spPr>
        <a:solidFill>
          <a:srgbClr val="FFFFFF"/>
        </a:solidFill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00" b="1" i="0" u="none" baseline="0">
                <a:latin typeface="Arial"/>
                <a:ea typeface="Arial"/>
                <a:cs typeface="Arial"/>
              </a:rPr>
              <a:t>Avancement maximal en fonction du volume</a:t>
            </a:r>
          </a:p>
        </c:rich>
      </c:tx>
      <c:layout>
        <c:manualLayout>
          <c:xMode val="factor"/>
          <c:yMode val="factor"/>
          <c:x val="0.054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425"/>
          <c:w val="1"/>
          <c:h val="0.95575"/>
        </c:manualLayout>
      </c:layout>
      <c:scatterChart>
        <c:scatterStyle val="line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'Avancement_ (2)'!$X$3:$X$5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xVal>
          <c:yVal>
            <c:numRef>
              <c:f>'Avancement_ (2)'!$Y$3:$Y$5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0"/>
        </c:ser>
        <c:axId val="2169864"/>
        <c:axId val="19528777"/>
      </c:scatterChart>
      <c:valAx>
        <c:axId val="2169864"/>
        <c:scaling>
          <c:orientation val="minMax"/>
          <c:max val="2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75" b="1" i="0" u="none" baseline="0">
                    <a:latin typeface="Arial"/>
                    <a:ea typeface="Arial"/>
                    <a:cs typeface="Arial"/>
                  </a:rPr>
                  <a:t>V (mL)</a:t>
                </a:r>
              </a:p>
            </c:rich>
          </c:tx>
          <c:layout>
            <c:manualLayout>
              <c:xMode val="factor"/>
              <c:yMode val="factor"/>
              <c:x val="0.0225"/>
              <c:y val="0.112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9528777"/>
        <c:crosses val="autoZero"/>
        <c:crossBetween val="midCat"/>
        <c:dispUnits/>
        <c:majorUnit val="2"/>
      </c:valAx>
      <c:valAx>
        <c:axId val="19528777"/>
        <c:scaling>
          <c:orientation val="minMax"/>
          <c:max val="0.0007700000000000002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75" b="0" i="0" u="none" baseline="0">
                    <a:latin typeface="Arial"/>
                    <a:ea typeface="Arial"/>
                    <a:cs typeface="Arial"/>
                  </a:rPr>
                  <a:t>Mol</a:t>
                </a:r>
              </a:p>
            </c:rich>
          </c:tx>
          <c:layout>
            <c:manualLayout>
              <c:xMode val="factor"/>
              <c:yMode val="factor"/>
              <c:x val="0.028"/>
              <c:y val="0.137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169864"/>
        <c:crosses val="autoZero"/>
        <c:crossBetween val="midCat"/>
        <c:dispUnits/>
        <c:majorUnit val="7.000000000000002E-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71675"/>
          <c:h val="0.686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CC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'dosage d''oxydo-réduction'!$H$3</c:f>
              <c:numCache/>
            </c:numRef>
          </c:val>
        </c:ser>
        <c:ser>
          <c:idx val="1"/>
          <c:order val="1"/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'dosage d''oxydo-réduction'!$Y$3</c:f>
              <c:numCache/>
            </c:numRef>
          </c:val>
        </c:ser>
        <c:overlap val="100"/>
        <c:gapWidth val="0"/>
        <c:axId val="40087172"/>
        <c:axId val="25240229"/>
      </c:barChart>
      <c:catAx>
        <c:axId val="40087172"/>
        <c:scaling>
          <c:orientation val="minMax"/>
        </c:scaling>
        <c:axPos val="b"/>
        <c:delete val="1"/>
        <c:majorTickMark val="out"/>
        <c:minorTickMark val="none"/>
        <c:tickLblPos val="nextTo"/>
        <c:crossAx val="25240229"/>
        <c:crosses val="autoZero"/>
        <c:auto val="1"/>
        <c:lblOffset val="100"/>
        <c:noMultiLvlLbl val="0"/>
      </c:catAx>
      <c:valAx>
        <c:axId val="25240229"/>
        <c:scaling>
          <c:orientation val="minMax"/>
          <c:max val="150"/>
          <c:min val="0"/>
        </c:scaling>
        <c:axPos val="l"/>
        <c:delete val="1"/>
        <c:majorTickMark val="out"/>
        <c:minorTickMark val="none"/>
        <c:tickLblPos val="nextTo"/>
        <c:crossAx val="4008717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Evolution des quantités de matière dans le bécher en fonction du volume versé</a:t>
            </a:r>
          </a:p>
        </c:rich>
      </c:tx>
      <c:layout>
        <c:manualLayout>
          <c:xMode val="factor"/>
          <c:yMode val="factor"/>
          <c:x val="0.026"/>
          <c:y val="-0.019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635"/>
          <c:w val="0.99175"/>
          <c:h val="0.936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CFFCC"/>
              </a:solidFill>
              <a:ln w="12700">
                <a:solidFill/>
              </a:ln>
            </c:spPr>
          </c:dPt>
          <c:dPt>
            <c:idx val="1"/>
            <c:invertIfNegative val="0"/>
            <c:spPr>
              <a:solidFill>
                <a:srgbClr val="FF00FF"/>
              </a:solidFill>
              <a:ln w="12700">
                <a:solidFill/>
              </a:ln>
            </c:spPr>
          </c:dPt>
          <c:dPt>
            <c:idx val="2"/>
            <c:invertIfNegative val="0"/>
            <c:spPr>
              <a:solidFill>
                <a:srgbClr val="FFFF00"/>
              </a:solidFill>
              <a:ln w="12700">
                <a:solidFill/>
              </a:ln>
            </c:spPr>
          </c:dPt>
          <c:dPt>
            <c:idx val="3"/>
            <c:invertIfNegative val="0"/>
            <c:spPr>
              <a:solidFill>
                <a:srgbClr val="C0C0C0"/>
              </a:solidFill>
              <a:ln w="12700">
                <a:solid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Fe</a:t>
                    </a:r>
                    <a:r>
                      <a:rPr lang="en-US" cap="none" sz="1000" b="0" i="0" u="none" baseline="30000">
                        <a:latin typeface="Arial"/>
                        <a:ea typeface="Arial"/>
                        <a:cs typeface="Arial"/>
                      </a:rPr>
                      <a:t>2+ </a:t>
                    </a:r>
                  </a:p>
                </c:rich>
              </c:tx>
              <c:numFmt formatCode="General" sourceLinked="1"/>
              <c:spPr>
                <a:solidFill>
                  <a:srgbClr val="CCFFCC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50" b="0" i="0" u="none" baseline="0">
                        <a:latin typeface="Arial"/>
                        <a:ea typeface="Arial"/>
                        <a:cs typeface="Arial"/>
                      </a:rPr>
                      <a:t>MnO</a:t>
                    </a:r>
                    <a:r>
                      <a:rPr lang="en-US" cap="none" sz="1000" b="0" i="0" u="none" baseline="-25000">
                        <a:latin typeface="Arial"/>
                        <a:ea typeface="Arial"/>
                        <a:cs typeface="Arial"/>
                      </a:rPr>
                      <a:t>4</a:t>
                    </a:r>
                    <a:r>
                      <a:rPr lang="en-US" cap="none" sz="1000" b="0" i="0" u="none" baseline="30000">
                        <a:latin typeface="Arial"/>
                        <a:ea typeface="Arial"/>
                        <a:cs typeface="Arial"/>
                      </a:rPr>
                      <a:t>-</a:t>
                    </a: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 </a:t>
                    </a:r>
                  </a:p>
                </c:rich>
              </c:tx>
              <c:numFmt formatCode="General" sourceLinked="1"/>
              <c:spPr>
                <a:solidFill>
                  <a:srgbClr val="FF00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50" b="0" i="0" u="none" baseline="0">
                        <a:latin typeface="Arial"/>
                        <a:ea typeface="Arial"/>
                        <a:cs typeface="Arial"/>
                      </a:rPr>
                      <a:t>Fe</a:t>
                    </a:r>
                    <a:r>
                      <a:rPr lang="en-US" cap="none" sz="1000" b="0" i="0" u="none" baseline="30000">
                        <a:latin typeface="Arial"/>
                        <a:ea typeface="Arial"/>
                        <a:cs typeface="Arial"/>
                      </a:rPr>
                      <a:t>3+</a:t>
                    </a:r>
                  </a:p>
                </c:rich>
              </c:tx>
              <c:numFmt formatCode="General" sourceLinked="1"/>
              <c:spPr>
                <a:solidFill>
                  <a:srgbClr val="FFFF00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50" b="0" i="0" u="none" baseline="0">
                        <a:latin typeface="Arial"/>
                        <a:ea typeface="Arial"/>
                        <a:cs typeface="Arial"/>
                      </a:rPr>
                      <a:t>Mn</a:t>
                    </a:r>
                    <a:r>
                      <a:rPr lang="en-US" cap="none" sz="1000" b="0" i="0" u="none" baseline="30000">
                        <a:latin typeface="Arial"/>
                        <a:ea typeface="Arial"/>
                        <a:cs typeface="Arial"/>
                      </a:rPr>
                      <a:t>2+</a:t>
                    </a:r>
                    <a:r>
                      <a:rPr lang="en-US" cap="none" sz="925" b="0" i="0" u="none" baseline="30000">
                        <a:latin typeface="Arial"/>
                        <a:ea typeface="Arial"/>
                        <a:cs typeface="Arial"/>
                      </a:rPr>
                      <a:t> </a:t>
                    </a:r>
                  </a:p>
                </c:rich>
              </c:tx>
              <c:numFmt formatCode="General" sourceLinked="1"/>
              <c:spPr>
                <a:solidFill>
                  <a:srgbClr val="C0C0C0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('dosage d''oxydo-réduction'!$K$6,'dosage d''oxydo-réduction'!$R$6,'dosage d''oxydo-réduction'!$V$6,'dosage d''oxydo-réduction'!$Y$6)</c:f>
              <c:strCache/>
            </c:strRef>
          </c:cat>
          <c:val>
            <c:numRef>
              <c:f>('dosage d''oxydo-réduction'!$K$10,'dosage d''oxydo-réduction'!$R$10,'dosage d''oxydo-réduction'!$V$10,'dosage d''oxydo-réduction'!$Y$10)</c:f>
              <c:numCache/>
            </c:numRef>
          </c:val>
          <c:shape val="box"/>
        </c:ser>
        <c:shape val="box"/>
        <c:axId val="25835470"/>
        <c:axId val="31192639"/>
      </c:bar3DChart>
      <c:catAx>
        <c:axId val="25835470"/>
        <c:scaling>
          <c:orientation val="minMax"/>
        </c:scaling>
        <c:axPos val="b"/>
        <c:majorGridlines/>
        <c:delete val="1"/>
        <c:majorTickMark val="out"/>
        <c:minorTickMark val="none"/>
        <c:tickLblPos val="low"/>
        <c:crossAx val="31192639"/>
        <c:crosses val="autoZero"/>
        <c:auto val="1"/>
        <c:lblOffset val="100"/>
        <c:noMultiLvlLbl val="0"/>
      </c:catAx>
      <c:valAx>
        <c:axId val="31192639"/>
        <c:scaling>
          <c:orientation val="minMax"/>
          <c:max val="0.00525"/>
          <c:min val="0"/>
        </c:scaling>
        <c:axPos val="l"/>
        <c:majorGridlines/>
        <c:delete val="0"/>
        <c:numFmt formatCode="0.00E+00" sourceLinked="0"/>
        <c:majorTickMark val="out"/>
        <c:minorTickMark val="none"/>
        <c:tickLblPos val="nextTo"/>
        <c:spPr>
          <a:ln w="25400">
            <a:solidFill/>
          </a:ln>
        </c:spPr>
        <c:crossAx val="25835470"/>
        <c:crossesAt val="1"/>
        <c:crossBetween val="between"/>
        <c:dispUnits/>
        <c:majorUnit val="0.0005250000000000001"/>
        <c:minorUnit val="0.0001"/>
      </c:val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CCFFCC"/>
    </a:solidFill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Evolution des quantités de matière dans le bécher en fonction du volume versé</a:t>
            </a:r>
          </a:p>
        </c:rich>
      </c:tx>
      <c:layout>
        <c:manualLayout>
          <c:xMode val="factor"/>
          <c:yMode val="factor"/>
          <c:x val="0.0217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975"/>
          <c:w val="1"/>
          <c:h val="0.84425"/>
        </c:manualLayout>
      </c:layout>
      <c:scatterChart>
        <c:scatterStyle val="smooth"/>
        <c:varyColors val="0"/>
        <c:ser>
          <c:idx val="0"/>
          <c:order val="0"/>
          <c:tx>
            <c:strRef>
              <c:f>'dosage d''oxydo-réduction'!$K$6</c:f>
              <c:strCache>
                <c:ptCount val="1"/>
                <c:pt idx="0">
                  <c:v>Fe2+ 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'dosage d''oxydo-réduction'!$B$8:$B$10</c:f>
              <c:numCache/>
            </c:numRef>
          </c:xVal>
          <c:yVal>
            <c:numRef>
              <c:f>'dosage d''oxydo-réduction'!$K$8:$K$10</c:f>
              <c:numCache/>
            </c:numRef>
          </c:yVal>
          <c:smooth val="1"/>
        </c:ser>
        <c:ser>
          <c:idx val="1"/>
          <c:order val="1"/>
          <c:tx>
            <c:strRef>
              <c:f>'dosage d''oxydo-réduction'!$R$6</c:f>
              <c:strCache>
                <c:ptCount val="1"/>
                <c:pt idx="0">
                  <c:v>MnO4- 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'dosage d''oxydo-réduction'!$B$8:$B$10</c:f>
              <c:numCache/>
            </c:numRef>
          </c:xVal>
          <c:yVal>
            <c:numRef>
              <c:f>('dosage d''oxydo-réduction'!$Q$9:$R$9,'dosage d''oxydo-réduction'!$R$10)</c:f>
              <c:numCache/>
            </c:numRef>
          </c:yVal>
          <c:smooth val="1"/>
        </c:ser>
        <c:ser>
          <c:idx val="2"/>
          <c:order val="2"/>
          <c:tx>
            <c:strRef>
              <c:f>'dosage d''oxydo-réduction'!$V$6</c:f>
              <c:strCache>
                <c:ptCount val="1"/>
                <c:pt idx="0">
                  <c:v>Fe3+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'dosage d''oxydo-réduction'!$B$8:$B$10</c:f>
              <c:numCache/>
            </c:numRef>
          </c:xVal>
          <c:yVal>
            <c:numRef>
              <c:f>'dosage d''oxydo-réduction'!$V$8:$V$10</c:f>
              <c:numCache/>
            </c:numRef>
          </c:yVal>
          <c:smooth val="1"/>
        </c:ser>
        <c:ser>
          <c:idx val="3"/>
          <c:order val="3"/>
          <c:tx>
            <c:strRef>
              <c:f>'dosage d''oxydo-réduction'!$Y$6</c:f>
              <c:strCache>
                <c:ptCount val="1"/>
                <c:pt idx="0">
                  <c:v>Mn2+ </c:v>
                </c:pt>
              </c:strCache>
            </c:strRef>
          </c:tx>
          <c:spPr>
            <a:ln w="381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'dosage d''oxydo-réduction'!$B$8:$B$10</c:f>
              <c:numCache/>
            </c:numRef>
          </c:xVal>
          <c:yVal>
            <c:numRef>
              <c:f>'dosage d''oxydo-réduction'!$Y$8:$Y$10</c:f>
              <c:numCache/>
            </c:numRef>
          </c:yVal>
          <c:smooth val="1"/>
        </c:ser>
        <c:axId val="12298296"/>
        <c:axId val="43575801"/>
      </c:scatterChart>
      <c:valAx>
        <c:axId val="12298296"/>
        <c:scaling>
          <c:orientation val="minMax"/>
          <c:max val="2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FF00FF"/>
                    </a:solidFill>
                    <a:latin typeface="Arial"/>
                    <a:ea typeface="Arial"/>
                    <a:cs typeface="Arial"/>
                  </a:rPr>
                  <a:t>Volume versé(mL)</a:t>
                </a:r>
              </a:p>
            </c:rich>
          </c:tx>
          <c:layout>
            <c:manualLayout>
              <c:xMode val="factor"/>
              <c:yMode val="factor"/>
              <c:x val="0.022"/>
              <c:y val="0.085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none"/>
        <c:minorTickMark val="none"/>
        <c:tickLblPos val="nextTo"/>
        <c:spPr>
          <a:ln w="3175">
            <a:solidFill/>
            <a:prstDash val="sysDot"/>
          </a:ln>
        </c:spPr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43575801"/>
        <c:crossesAt val="0"/>
        <c:crossBetween val="midCat"/>
        <c:dispUnits/>
        <c:majorUnit val="2"/>
      </c:valAx>
      <c:valAx>
        <c:axId val="43575801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/>
                  <a:t>mol</a:t>
                </a:r>
              </a:p>
            </c:rich>
          </c:tx>
          <c:layout>
            <c:manualLayout>
              <c:xMode val="factor"/>
              <c:yMode val="factor"/>
              <c:x val="0.031"/>
              <c:y val="0.135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none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12298296"/>
        <c:crossesAt val="0.000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275"/>
          <c:y val="0.92525"/>
          <c:w val="0.98725"/>
          <c:h val="0.06875"/>
        </c:manualLayout>
      </c:layout>
      <c:overlay val="0"/>
      <c:spPr>
        <a:solidFill>
          <a:srgbClr val="FFFFFF"/>
        </a:solidFill>
      </c:spPr>
    </c:legend>
    <c:plotVisOnly val="1"/>
    <c:dispBlanksAs val="gap"/>
    <c:showDLblsOverMax val="0"/>
  </c:chart>
  <c:spPr>
    <a:solidFill>
      <a:srgbClr val="CCFFCC"/>
    </a:solidFill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00" b="1" i="0" u="none" baseline="0">
                <a:latin typeface="Arial"/>
                <a:ea typeface="Arial"/>
                <a:cs typeface="Arial"/>
              </a:rPr>
              <a:t>Evolution des quantités de matière en fonction de l'avancement</a:t>
            </a:r>
          </a:p>
        </c:rich>
      </c:tx>
      <c:layout>
        <c:manualLayout>
          <c:xMode val="factor"/>
          <c:yMode val="factor"/>
          <c:x val="0.08425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"/>
          <c:y val="0.062"/>
          <c:w val="0.94725"/>
          <c:h val="0.8315"/>
        </c:manualLayout>
      </c:layout>
      <c:scatterChart>
        <c:scatterStyle val="smooth"/>
        <c:varyColors val="0"/>
        <c:ser>
          <c:idx val="0"/>
          <c:order val="0"/>
          <c:tx>
            <c:strRef>
              <c:f>Avancement_!$AB$6</c:f>
              <c:strCache>
                <c:ptCount val="1"/>
                <c:pt idx="0">
                  <c:v>Fe2+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Avancement_!$C$8:$C$10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xVal>
          <c:yVal>
            <c:numRef>
              <c:f>Avancement_!$J$8:$J$10</c:f>
              <c:numCache>
                <c:ptCount val="3"/>
                <c:pt idx="0">
                  <c:v>0.005</c:v>
                </c:pt>
                <c:pt idx="1">
                  <c:v>0.005</c:v>
                </c:pt>
                <c:pt idx="2">
                  <c:v>0.005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Avancement_!$Q$6</c:f>
              <c:strCache>
                <c:ptCount val="1"/>
                <c:pt idx="0">
                  <c:v>MnO4- 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Avancement_!$C$8:$C$10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xVal>
          <c:yVal>
            <c:numRef>
              <c:f>(Avancement_!$Q$8,Avancement_!$Q$10:$Q$10)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Avancement_!$U$6</c:f>
              <c:strCache>
                <c:ptCount val="1"/>
                <c:pt idx="0">
                  <c:v>Fe3+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Avancement_!$C$8:$C$10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xVal>
          <c:yVal>
            <c:numRef>
              <c:f>Avancement_!$U$8:$U$10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Avancement_!$AC$6</c:f>
              <c:strCache>
                <c:ptCount val="1"/>
                <c:pt idx="0">
                  <c:v>Mn2+</c:v>
                </c:pt>
              </c:strCache>
            </c:strRef>
          </c:tx>
          <c:spPr>
            <a:ln w="381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Avancement_!$C$8:$C$10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xVal>
          <c:yVal>
            <c:numRef>
              <c:f>Avancement_!$X$8:$X$10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1"/>
        </c:ser>
        <c:axId val="56637890"/>
        <c:axId val="39978963"/>
      </c:scatterChart>
      <c:valAx>
        <c:axId val="56637890"/>
        <c:scaling>
          <c:orientation val="minMax"/>
          <c:max val="0.001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Avancement X</a:t>
                </a:r>
                <a:r>
                  <a:rPr lang="en-US" cap="none" sz="900" b="1" i="0" u="none" baseline="-25000">
                    <a:latin typeface="Arial"/>
                    <a:ea typeface="Arial"/>
                    <a:cs typeface="Arial"/>
                  </a:rPr>
                  <a:t>max</a:t>
                </a: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 en mol</a:t>
                </a:r>
              </a:p>
            </c:rich>
          </c:tx>
          <c:layout>
            <c:manualLayout>
              <c:xMode val="factor"/>
              <c:yMode val="factor"/>
              <c:x val="0.0035"/>
              <c:y val="0.104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none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39978963"/>
        <c:crosses val="autoZero"/>
        <c:crossBetween val="midCat"/>
        <c:dispUnits/>
        <c:majorUnit val="0.0001"/>
      </c:valAx>
      <c:valAx>
        <c:axId val="39978963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latin typeface="Arial"/>
                    <a:ea typeface="Arial"/>
                    <a:cs typeface="Arial"/>
                  </a:rPr>
                  <a:t>Mol</a:t>
                </a:r>
              </a:p>
            </c:rich>
          </c:tx>
          <c:layout>
            <c:manualLayout>
              <c:xMode val="factor"/>
              <c:yMode val="factor"/>
              <c:x val="0.02775"/>
              <c:y val="0.139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none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5663789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99"/>
          <c:w val="0.68625"/>
          <c:h val="0.101"/>
        </c:manualLayout>
      </c:layout>
      <c:overlay val="0"/>
      <c:spPr>
        <a:solidFill>
          <a:srgbClr val="FFFFFF"/>
        </a:solidFill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00" b="1" i="0" u="none" baseline="0">
                <a:latin typeface="Arial"/>
                <a:ea typeface="Arial"/>
                <a:cs typeface="Arial"/>
              </a:rPr>
              <a:t>Avancement maximal en fonction du volume</a:t>
            </a:r>
          </a:p>
        </c:rich>
      </c:tx>
      <c:layout>
        <c:manualLayout>
          <c:xMode val="factor"/>
          <c:yMode val="factor"/>
          <c:x val="0.0852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125"/>
          <c:w val="1"/>
          <c:h val="0.93875"/>
        </c:manualLayout>
      </c:layout>
      <c:scatterChart>
        <c:scatterStyle val="line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Avancement_!$Z$3:$Z$5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xVal>
          <c:yVal>
            <c:numRef>
              <c:f>Avancement_!$AA$3:$AA$5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0"/>
        </c:ser>
        <c:axId val="24266348"/>
        <c:axId val="17070541"/>
      </c:scatterChart>
      <c:valAx>
        <c:axId val="24266348"/>
        <c:scaling>
          <c:orientation val="minMax"/>
          <c:max val="2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1" i="0" u="none" baseline="0">
                    <a:latin typeface="Arial"/>
                    <a:ea typeface="Arial"/>
                    <a:cs typeface="Arial"/>
                  </a:rPr>
                  <a:t>V (mL)</a:t>
                </a:r>
              </a:p>
            </c:rich>
          </c:tx>
          <c:layout>
            <c:manualLayout>
              <c:xMode val="factor"/>
              <c:yMode val="factor"/>
              <c:x val="0.022"/>
              <c:y val="0.113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17070541"/>
        <c:crosses val="autoZero"/>
        <c:crossBetween val="midCat"/>
        <c:dispUnits/>
        <c:majorUnit val="2"/>
      </c:valAx>
      <c:valAx>
        <c:axId val="17070541"/>
        <c:scaling>
          <c:orientation val="minMax"/>
          <c:max val="0.001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latin typeface="Arial"/>
                    <a:ea typeface="Arial"/>
                    <a:cs typeface="Arial"/>
                  </a:rPr>
                  <a:t>Mol</a:t>
                </a:r>
              </a:p>
            </c:rich>
          </c:tx>
          <c:layout>
            <c:manualLayout>
              <c:xMode val="factor"/>
              <c:yMode val="factor"/>
              <c:x val="0.02725"/>
              <c:y val="0.139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24266348"/>
        <c:crosses val="autoZero"/>
        <c:crossBetween val="midCat"/>
        <c:dispUnits/>
        <c:majorUnit val="0.000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"/>
          <c:w val="0.7165"/>
          <c:h val="0.7012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'dosage d''oxydo-réduction (2)'!$H$3</c:f>
              <c:numCache/>
            </c:numRef>
          </c:val>
        </c:ser>
        <c:ser>
          <c:idx val="1"/>
          <c:order val="1"/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'dosage d''oxydo-réduction (2)'!$X$3</c:f>
              <c:numCache/>
            </c:numRef>
          </c:val>
        </c:ser>
        <c:overlap val="100"/>
        <c:gapWidth val="0"/>
        <c:axId val="19417142"/>
        <c:axId val="40536551"/>
      </c:barChart>
      <c:catAx>
        <c:axId val="19417142"/>
        <c:scaling>
          <c:orientation val="minMax"/>
        </c:scaling>
        <c:axPos val="b"/>
        <c:delete val="1"/>
        <c:majorTickMark val="out"/>
        <c:minorTickMark val="none"/>
        <c:tickLblPos val="nextTo"/>
        <c:crossAx val="40536551"/>
        <c:crosses val="autoZero"/>
        <c:auto val="1"/>
        <c:lblOffset val="100"/>
        <c:noMultiLvlLbl val="0"/>
      </c:catAx>
      <c:valAx>
        <c:axId val="40536551"/>
        <c:scaling>
          <c:orientation val="minMax"/>
          <c:max val="100"/>
          <c:min val="0"/>
        </c:scaling>
        <c:axPos val="l"/>
        <c:delete val="1"/>
        <c:majorTickMark val="out"/>
        <c:minorTickMark val="none"/>
        <c:tickLblPos val="nextTo"/>
        <c:crossAx val="194171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4"/>
          <c:y val="0.033"/>
          <c:w val="0.3135"/>
          <c:h val="0.94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99"/>
              </a:solidFill>
            </c:spPr>
          </c:dPt>
          <c:val>
            <c:numRef>
              <c:f>'dosage d''oxydo-réduction (2)'!$E$3</c:f>
              <c:numCache/>
            </c:numRef>
          </c:val>
        </c:ser>
        <c:gapWidth val="40"/>
        <c:axId val="29284640"/>
        <c:axId val="62235169"/>
      </c:barChart>
      <c:catAx>
        <c:axId val="29284640"/>
        <c:scaling>
          <c:orientation val="minMax"/>
        </c:scaling>
        <c:axPos val="b"/>
        <c:delete val="1"/>
        <c:majorTickMark val="out"/>
        <c:minorTickMark val="none"/>
        <c:tickLblPos val="nextTo"/>
        <c:crossAx val="62235169"/>
        <c:crosses val="autoZero"/>
        <c:auto val="1"/>
        <c:lblOffset val="100"/>
        <c:noMultiLvlLbl val="0"/>
      </c:catAx>
      <c:valAx>
        <c:axId val="62235169"/>
        <c:scaling>
          <c:orientation val="minMax"/>
          <c:max val="25"/>
          <c:min val="0"/>
        </c:scaling>
        <c:axPos val="l"/>
        <c:delete val="1"/>
        <c:majorTickMark val="out"/>
        <c:minorTickMark val="none"/>
        <c:tickLblPos val="nextTo"/>
        <c:crossAx val="2928464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0" i="0" u="none" baseline="0"/>
              <a:t>Evolution des quantités de matière dans le bécher en fonction du volume versé</a:t>
            </a:r>
          </a:p>
        </c:rich>
      </c:tx>
      <c:layout>
        <c:manualLayout>
          <c:xMode val="factor"/>
          <c:yMode val="factor"/>
          <c:x val="0.0217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1"/>
          <c:w val="1"/>
          <c:h val="0.84175"/>
        </c:manualLayout>
      </c:layout>
      <c:scatterChart>
        <c:scatterStyle val="smooth"/>
        <c:varyColors val="0"/>
        <c:ser>
          <c:idx val="0"/>
          <c:order val="0"/>
          <c:tx>
            <c:strRef>
              <c:f>'dosage d''oxydo-réduction (2)'!$AB$6</c:f>
              <c:strCache>
                <c:ptCount val="1"/>
                <c:pt idx="0">
                  <c:v>I2(aq)</c:v>
                </c:pt>
              </c:strCache>
            </c:strRef>
          </c:tx>
          <c:spPr>
            <a:ln w="381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'dosage d''oxydo-réduction (2)'!$B$8:$B$10</c:f>
              <c:numCache/>
            </c:numRef>
          </c:xVal>
          <c:yVal>
            <c:numRef>
              <c:f>'dosage d''oxydo-réduction (2)'!$K$8:$K$10</c:f>
              <c:numCache/>
            </c:numRef>
          </c:yVal>
          <c:smooth val="1"/>
        </c:ser>
        <c:ser>
          <c:idx val="1"/>
          <c:order val="1"/>
          <c:tx>
            <c:strRef>
              <c:f>'dosage d''oxydo-réduction (2)'!$Q$6</c:f>
              <c:strCache>
                <c:ptCount val="1"/>
                <c:pt idx="0">
                  <c:v>S2O32-(aq)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'dosage d''oxydo-réduction (2)'!$B$8:$B$10</c:f>
              <c:numCache/>
            </c:numRef>
          </c:xVal>
          <c:yVal>
            <c:numRef>
              <c:f>('dosage d''oxydo-réduction (2)'!$P$9:$Q$9,'dosage d''oxydo-réduction (2)'!$Q$10)</c:f>
              <c:numCache/>
            </c:numRef>
          </c:yVal>
          <c:smooth val="1"/>
        </c:ser>
        <c:ser>
          <c:idx val="2"/>
          <c:order val="2"/>
          <c:tx>
            <c:strRef>
              <c:f>'dosage d''oxydo-réduction (2)'!$U$6</c:f>
              <c:strCache>
                <c:ptCount val="1"/>
                <c:pt idx="0">
                  <c:v>I-(aq)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'dosage d''oxydo-réduction (2)'!$B$8:$B$10</c:f>
              <c:numCache/>
            </c:numRef>
          </c:xVal>
          <c:yVal>
            <c:numRef>
              <c:f>'dosage d''oxydo-réduction (2)'!$U$8:$U$10</c:f>
              <c:numCache/>
            </c:numRef>
          </c:yVal>
          <c:smooth val="1"/>
        </c:ser>
        <c:ser>
          <c:idx val="3"/>
          <c:order val="3"/>
          <c:tx>
            <c:strRef>
              <c:f>'dosage d''oxydo-réduction (2)'!$AC$6</c:f>
              <c:strCache>
                <c:ptCount val="1"/>
                <c:pt idx="0">
                  <c:v>S4O62-</c:v>
                </c:pt>
              </c:strCache>
            </c:strRef>
          </c:tx>
          <c:spPr>
            <a:ln w="381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'dosage d''oxydo-réduction (2)'!$B$8:$B$10</c:f>
              <c:numCache/>
            </c:numRef>
          </c:xVal>
          <c:yVal>
            <c:numRef>
              <c:f>'dosage d''oxydo-réduction (2)'!$X$8:$X$10</c:f>
              <c:numCache/>
            </c:numRef>
          </c:yVal>
          <c:smooth val="1"/>
        </c:ser>
        <c:axId val="23245610"/>
        <c:axId val="7883899"/>
      </c:scatterChart>
      <c:valAx>
        <c:axId val="23245610"/>
        <c:scaling>
          <c:orientation val="minMax"/>
          <c:max val="2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FF00FF"/>
                    </a:solidFill>
                    <a:latin typeface="Arial"/>
                    <a:ea typeface="Arial"/>
                    <a:cs typeface="Arial"/>
                  </a:rPr>
                  <a:t>Volume versé(mL)</a:t>
                </a:r>
              </a:p>
            </c:rich>
          </c:tx>
          <c:layout>
            <c:manualLayout>
              <c:xMode val="factor"/>
              <c:yMode val="factor"/>
              <c:x val="0.022"/>
              <c:y val="0.085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none"/>
        <c:minorTickMark val="none"/>
        <c:tickLblPos val="nextTo"/>
        <c:spPr>
          <a:ln w="3175">
            <a:solidFill/>
            <a:prstDash val="sysDot"/>
          </a:ln>
        </c:spPr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7883899"/>
        <c:crossesAt val="0"/>
        <c:crossBetween val="midCat"/>
        <c:dispUnits/>
        <c:majorUnit val="2"/>
        <c:minorUnit val="0.5"/>
      </c:valAx>
      <c:valAx>
        <c:axId val="7883899"/>
        <c:scaling>
          <c:orientation val="minMax"/>
          <c:max val="0.0014700000000000002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/>
                  <a:t>mol</a:t>
                </a:r>
              </a:p>
            </c:rich>
          </c:tx>
          <c:layout>
            <c:manualLayout>
              <c:xMode val="factor"/>
              <c:yMode val="factor"/>
              <c:x val="0.031"/>
              <c:y val="0.135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0E+00" sourceLinked="0"/>
        <c:majorTickMark val="none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23245610"/>
        <c:crossesAt val="0"/>
        <c:crossBetween val="midCat"/>
        <c:dispUnits/>
        <c:majorUnit val="0.00014700000000000002"/>
        <c:minorUnit val="1.3E-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325"/>
          <c:y val="0.9295"/>
          <c:w val="0.99675"/>
          <c:h val="0.0675"/>
        </c:manualLayout>
      </c:layout>
      <c:overlay val="0"/>
    </c:legend>
    <c:plotVisOnly val="1"/>
    <c:dispBlanksAs val="gap"/>
    <c:showDLblsOverMax val="0"/>
  </c:chart>
  <c:spPr>
    <a:solidFill>
      <a:srgbClr val="CCFFCC"/>
    </a:solidFill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0</xdr:row>
      <xdr:rowOff>66675</xdr:rowOff>
    </xdr:from>
    <xdr:to>
      <xdr:col>6</xdr:col>
      <xdr:colOff>723900</xdr:colOff>
      <xdr:row>2</xdr:row>
      <xdr:rowOff>133350</xdr:rowOff>
    </xdr:to>
    <xdr:sp>
      <xdr:nvSpPr>
        <xdr:cNvPr id="1" name="AutoShape 4"/>
        <xdr:cNvSpPr>
          <a:spLocks/>
        </xdr:cNvSpPr>
      </xdr:nvSpPr>
      <xdr:spPr>
        <a:xfrm>
          <a:off x="952500" y="66675"/>
          <a:ext cx="4343400" cy="5143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gradFill rotWithShape="1">
                <a:gsLst>
                  <a:gs pos="0">
                    <a:srgbClr val="A603AB"/>
                  </a:gs>
                  <a:gs pos="12000">
                    <a:srgbClr val="E81766"/>
                  </a:gs>
                  <a:gs pos="27000">
                    <a:srgbClr val="EE3F17"/>
                  </a:gs>
                  <a:gs pos="48000">
                    <a:srgbClr val="FFFF00"/>
                  </a:gs>
                  <a:gs pos="64999">
                    <a:srgbClr val="1A8D48"/>
                  </a:gs>
                  <a:gs pos="78999">
                    <a:srgbClr val="0819FB"/>
                  </a:gs>
                  <a:gs pos="100000">
                    <a:srgbClr val="A603AB"/>
                  </a:gs>
                </a:gsLst>
                <a:lin ang="0" scaled="1"/>
              </a:gradFill>
              <a:effectLst>
                <a:outerShdw dist="35921" dir="2700000" sy="50000" kx="2115830" algn="bl">
                  <a:srgbClr val="C0C0C0">
                    <a:alpha val="100000"/>
                  </a:srgbClr>
                </a:outerShdw>
              </a:effectLst>
              <a:latin typeface="Arial Black"/>
              <a:cs typeface="Arial Black"/>
            </a:rPr>
            <a:t>Simulation des titrages d'oxydoréduction
</a:t>
          </a:r>
        </a:p>
      </xdr:txBody>
    </xdr:sp>
    <xdr:clientData/>
  </xdr:twoCellAnchor>
  <xdr:twoCellAnchor>
    <xdr:from>
      <xdr:col>0</xdr:col>
      <xdr:colOff>85725</xdr:colOff>
      <xdr:row>3</xdr:row>
      <xdr:rowOff>28575</xdr:rowOff>
    </xdr:from>
    <xdr:to>
      <xdr:col>9</xdr:col>
      <xdr:colOff>552450</xdr:colOff>
      <xdr:row>19</xdr:row>
      <xdr:rowOff>142875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85725" y="638175"/>
          <a:ext cx="7324725" cy="2705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¤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Cette simulation n'a évidemment pas pour but de remplacer le titrage mais seulement d'aider à son interprétation,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¤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Elle peut aussi être utilisée pour la validation d'exercices,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¤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Il est indispensable d'utiliser 
                    - le 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mode d'affichage 800*600, ou supérieur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                    - le 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mode plein écran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¤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Choisir une des réactions proposées.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¤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Le second réactif de la transformation sera dans la burette.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¤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Les couleurs utilisées dans les graphiques correspondent à celles utilisées dans les tableaux, mais elles ne sont
   évidemment pas celles des espèces chimiques sauf cas particulier.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¤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Les quantités de matière de l'état initial peuvent être modifiées en utilisant les compteurs.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¤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Vous pouvez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choisir le (les) mode(s) graphique(s) souhaité(s)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¤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Le titrage peut être étudié en utilisant le curseur de la burette ou l'animation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 "Titrage automatique"
 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(vous pouvez alors régler la temporisation).
</a:t>
          </a:r>
          <a:r>
            <a:rPr lang="en-US" cap="none" sz="1000" b="1" i="0" u="none" baseline="0">
              <a:solidFill>
                <a:srgbClr val="FF6600"/>
              </a:solidFill>
              <a:latin typeface="Arial"/>
              <a:ea typeface="Arial"/>
              <a:cs typeface="Arial"/>
            </a:rPr>
            <a:t>¤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Ne pas sauvegarder en quittant le fichier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(il est en lecture seule).</a:t>
          </a:r>
        </a:p>
      </xdr:txBody>
    </xdr:sp>
    <xdr:clientData/>
  </xdr:twoCellAnchor>
  <xdr:twoCellAnchor>
    <xdr:from>
      <xdr:col>1</xdr:col>
      <xdr:colOff>114300</xdr:colOff>
      <xdr:row>21</xdr:row>
      <xdr:rowOff>28575</xdr:rowOff>
    </xdr:from>
    <xdr:to>
      <xdr:col>7</xdr:col>
      <xdr:colOff>600075</xdr:colOff>
      <xdr:row>22</xdr:row>
      <xdr:rowOff>171450</xdr:rowOff>
    </xdr:to>
    <xdr:grpSp>
      <xdr:nvGrpSpPr>
        <xdr:cNvPr id="3" name="Group 20"/>
        <xdr:cNvGrpSpPr>
          <a:grpSpLocks/>
        </xdr:cNvGrpSpPr>
      </xdr:nvGrpSpPr>
      <xdr:grpSpPr>
        <a:xfrm>
          <a:off x="876300" y="3429000"/>
          <a:ext cx="5057775" cy="304800"/>
          <a:chOff x="92" y="360"/>
          <a:chExt cx="531" cy="35"/>
        </a:xfrm>
        <a:solidFill>
          <a:srgbClr val="FFFFFF"/>
        </a:solidFill>
      </xdr:grpSpPr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0</xdr:row>
      <xdr:rowOff>114300</xdr:rowOff>
    </xdr:from>
    <xdr:to>
      <xdr:col>10</xdr:col>
      <xdr:colOff>504825</xdr:colOff>
      <xdr:row>2</xdr:row>
      <xdr:rowOff>66675</xdr:rowOff>
    </xdr:to>
    <xdr:sp>
      <xdr:nvSpPr>
        <xdr:cNvPr id="1" name="AutoShape 9"/>
        <xdr:cNvSpPr>
          <a:spLocks/>
        </xdr:cNvSpPr>
      </xdr:nvSpPr>
      <xdr:spPr>
        <a:xfrm>
          <a:off x="609600" y="114300"/>
          <a:ext cx="6238875" cy="457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400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gradFill rotWithShape="1">
                <a:gsLst>
                  <a:gs pos="0">
                    <a:srgbClr val="A603AB"/>
                  </a:gs>
                  <a:gs pos="12000">
                    <a:srgbClr val="E81766"/>
                  </a:gs>
                  <a:gs pos="27000">
                    <a:srgbClr val="EE3F17"/>
                  </a:gs>
                  <a:gs pos="48000">
                    <a:srgbClr val="FFFF00"/>
                  </a:gs>
                  <a:gs pos="64999">
                    <a:srgbClr val="1A8D48"/>
                  </a:gs>
                  <a:gs pos="78999">
                    <a:srgbClr val="0819FB"/>
                  </a:gs>
                  <a:gs pos="100000">
                    <a:srgbClr val="A603AB"/>
                  </a:gs>
                </a:gsLst>
                <a:lin ang="0" scaled="1"/>
              </a:gradFill>
              <a:effectLst>
                <a:outerShdw dist="35921" dir="2700000" sy="50000" kx="2115830" algn="bl">
                  <a:srgbClr val="C0C0C0">
                    <a:alpha val="100000"/>
                  </a:srgbClr>
                </a:outerShdw>
              </a:effectLst>
              <a:latin typeface="Arial Black"/>
              <a:cs typeface="Arial Black"/>
            </a:rPr>
            <a:t>Transformation d'un système chimique</a:t>
          </a:r>
        </a:p>
      </xdr:txBody>
    </xdr:sp>
    <xdr:clientData/>
  </xdr:twoCellAnchor>
  <xdr:twoCellAnchor>
    <xdr:from>
      <xdr:col>3</xdr:col>
      <xdr:colOff>619125</xdr:colOff>
      <xdr:row>4</xdr:row>
      <xdr:rowOff>85725</xdr:rowOff>
    </xdr:from>
    <xdr:to>
      <xdr:col>7</xdr:col>
      <xdr:colOff>381000</xdr:colOff>
      <xdr:row>7</xdr:row>
      <xdr:rowOff>9525</xdr:rowOff>
    </xdr:to>
    <xdr:sp>
      <xdr:nvSpPr>
        <xdr:cNvPr id="2" name="AutoShape 11"/>
        <xdr:cNvSpPr>
          <a:spLocks/>
        </xdr:cNvSpPr>
      </xdr:nvSpPr>
      <xdr:spPr>
        <a:xfrm>
          <a:off x="2362200" y="1066800"/>
          <a:ext cx="2619375" cy="5143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00CCFF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 Black"/>
              <a:cs typeface="Arial Black"/>
            </a:rPr>
            <a:t>Titrages d'oxydoréduction
</a:t>
          </a:r>
        </a:p>
      </xdr:txBody>
    </xdr:sp>
    <xdr:clientData/>
  </xdr:twoCellAnchor>
  <xdr:twoCellAnchor>
    <xdr:from>
      <xdr:col>1</xdr:col>
      <xdr:colOff>238125</xdr:colOff>
      <xdr:row>17</xdr:row>
      <xdr:rowOff>47625</xdr:rowOff>
    </xdr:from>
    <xdr:to>
      <xdr:col>9</xdr:col>
      <xdr:colOff>381000</xdr:colOff>
      <xdr:row>17</xdr:row>
      <xdr:rowOff>257175</xdr:rowOff>
    </xdr:to>
    <xdr:grpSp>
      <xdr:nvGrpSpPr>
        <xdr:cNvPr id="3" name="Group 192"/>
        <xdr:cNvGrpSpPr>
          <a:grpSpLocks/>
        </xdr:cNvGrpSpPr>
      </xdr:nvGrpSpPr>
      <xdr:grpSpPr>
        <a:xfrm>
          <a:off x="952500" y="3800475"/>
          <a:ext cx="5057775" cy="209550"/>
          <a:chOff x="100" y="399"/>
          <a:chExt cx="531" cy="22"/>
        </a:xfrm>
        <a:solidFill>
          <a:srgbClr val="FFFFFF"/>
        </a:solidFill>
      </xdr:grpSpPr>
      <xdr:grpSp>
        <xdr:nvGrpSpPr>
          <xdr:cNvPr id="4" name="Group 188"/>
          <xdr:cNvGrpSpPr>
            <a:grpSpLocks/>
          </xdr:cNvGrpSpPr>
        </xdr:nvGrpSpPr>
        <xdr:grpSpPr>
          <a:xfrm>
            <a:off x="278" y="399"/>
            <a:ext cx="353" cy="22"/>
            <a:chOff x="211" y="392"/>
            <a:chExt cx="353" cy="35"/>
          </a:xfrm>
          <a:solidFill>
            <a:srgbClr val="FFFFFF"/>
          </a:solidFill>
        </xdr:grpSpPr>
      </xdr:grpSp>
    </xdr:grp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0.0595</cdr:x>
      <cdr:y>0.1025</cdr:y>
    </cdr:from>
    <cdr:to>
      <cdr:x>0.15475</cdr:x>
      <cdr:y>0.15775</cdr:y>
    </cdr:to>
    <cdr:sp>
      <cdr:nvSpPr>
        <cdr:cNvPr id="1" name="TextBox 1"/>
        <cdr:cNvSpPr txBox="1">
          <a:spLocks noChangeArrowheads="1"/>
        </cdr:cNvSpPr>
      </cdr:nvSpPr>
      <cdr:spPr>
        <a:xfrm>
          <a:off x="142875" y="314325"/>
          <a:ext cx="2286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mol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11</xdr:row>
      <xdr:rowOff>19050</xdr:rowOff>
    </xdr:from>
    <xdr:to>
      <xdr:col>9</xdr:col>
      <xdr:colOff>85725</xdr:colOff>
      <xdr:row>29</xdr:row>
      <xdr:rowOff>85725</xdr:rowOff>
    </xdr:to>
    <xdr:sp>
      <xdr:nvSpPr>
        <xdr:cNvPr id="1" name="TextBox 203"/>
        <xdr:cNvSpPr txBox="1">
          <a:spLocks noChangeArrowheads="1"/>
        </xdr:cNvSpPr>
      </xdr:nvSpPr>
      <xdr:spPr>
        <a:xfrm>
          <a:off x="19050" y="1476375"/>
          <a:ext cx="2447925" cy="3114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19050</xdr:rowOff>
    </xdr:from>
    <xdr:to>
      <xdr:col>25</xdr:col>
      <xdr:colOff>180975</xdr:colOff>
      <xdr:row>0</xdr:row>
      <xdr:rowOff>276225</xdr:rowOff>
    </xdr:to>
    <xdr:sp>
      <xdr:nvSpPr>
        <xdr:cNvPr id="2" name="AutoShape 3"/>
        <xdr:cNvSpPr>
          <a:spLocks/>
        </xdr:cNvSpPr>
      </xdr:nvSpPr>
      <xdr:spPr>
        <a:xfrm>
          <a:off x="38100" y="19050"/>
          <a:ext cx="7210425" cy="2571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gradFill rotWithShape="1">
                <a:gsLst>
                  <a:gs pos="0">
                    <a:srgbClr val="A603AB"/>
                  </a:gs>
                  <a:gs pos="12000">
                    <a:srgbClr val="E81766"/>
                  </a:gs>
                  <a:gs pos="27000">
                    <a:srgbClr val="EE3F17"/>
                  </a:gs>
                  <a:gs pos="48000">
                    <a:srgbClr val="FFFF00"/>
                  </a:gs>
                  <a:gs pos="64999">
                    <a:srgbClr val="1A8D48"/>
                  </a:gs>
                  <a:gs pos="78999">
                    <a:srgbClr val="0819FB"/>
                  </a:gs>
                  <a:gs pos="100000">
                    <a:srgbClr val="A603AB"/>
                  </a:gs>
                </a:gsLst>
                <a:lin ang="0" scaled="1"/>
              </a:gradFill>
              <a:effectLst>
                <a:outerShdw dist="35921" dir="2700000" sy="50000" kx="2115830" algn="bl">
                  <a:srgbClr val="C0C0C0">
                    <a:alpha val="100000"/>
                  </a:srgbClr>
                </a:outerShdw>
              </a:effectLst>
              <a:latin typeface="Arial Black"/>
              <a:cs typeface="Arial Black"/>
            </a:rPr>
            <a:t>Evolution des quantités de matière au cours du titrage d'oxydoréduction</a:t>
          </a:r>
        </a:p>
      </xdr:txBody>
    </xdr:sp>
    <xdr:clientData/>
  </xdr:twoCellAnchor>
  <xdr:twoCellAnchor>
    <xdr:from>
      <xdr:col>10</xdr:col>
      <xdr:colOff>0</xdr:colOff>
      <xdr:row>12</xdr:row>
      <xdr:rowOff>76200</xdr:rowOff>
    </xdr:from>
    <xdr:to>
      <xdr:col>16</xdr:col>
      <xdr:colOff>28575</xdr:colOff>
      <xdr:row>31</xdr:row>
      <xdr:rowOff>0</xdr:rowOff>
    </xdr:to>
    <xdr:grpSp>
      <xdr:nvGrpSpPr>
        <xdr:cNvPr id="3" name="Group 207"/>
        <xdr:cNvGrpSpPr>
          <a:grpSpLocks/>
        </xdr:cNvGrpSpPr>
      </xdr:nvGrpSpPr>
      <xdr:grpSpPr>
        <a:xfrm>
          <a:off x="2495550" y="1695450"/>
          <a:ext cx="1943100" cy="3181350"/>
          <a:chOff x="262" y="178"/>
          <a:chExt cx="204" cy="331"/>
        </a:xfrm>
        <a:solidFill>
          <a:srgbClr val="FFFFFF"/>
        </a:solidFill>
      </xdr:grpSpPr>
      <xdr:sp>
        <xdr:nvSpPr>
          <xdr:cNvPr id="4" name="Line 22"/>
          <xdr:cNvSpPr>
            <a:spLocks/>
          </xdr:cNvSpPr>
        </xdr:nvSpPr>
        <xdr:spPr>
          <a:xfrm>
            <a:off x="403" y="398"/>
            <a:ext cx="41" cy="10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aphicFrame>
        <xdr:nvGraphicFramePr>
          <xdr:cNvPr id="5" name="Chart 24"/>
          <xdr:cNvGraphicFramePr/>
        </xdr:nvGraphicFramePr>
        <xdr:xfrm>
          <a:off x="395" y="182"/>
          <a:ext cx="43" cy="226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pSp>
        <xdr:nvGrpSpPr>
          <xdr:cNvPr id="6" name="Group 25"/>
          <xdr:cNvGrpSpPr>
            <a:grpSpLocks/>
          </xdr:cNvGrpSpPr>
        </xdr:nvGrpSpPr>
        <xdr:grpSpPr>
          <a:xfrm>
            <a:off x="423" y="178"/>
            <a:ext cx="19" cy="239"/>
            <a:chOff x="18" y="0"/>
            <a:chExt cx="19894" cy="20000"/>
          </a:xfrm>
          <a:solidFill>
            <a:srgbClr val="FFFFFF"/>
          </a:solidFill>
        </xdr:grpSpPr>
        <xdr:sp>
          <xdr:nvSpPr>
            <xdr:cNvPr id="7" name="AutoShape 26"/>
            <xdr:cNvSpPr>
              <a:spLocks/>
            </xdr:cNvSpPr>
          </xdr:nvSpPr>
          <xdr:spPr>
            <a:xfrm>
              <a:off x="3325" y="205"/>
              <a:ext cx="60" cy="18185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AutoShape 27"/>
            <xdr:cNvSpPr>
              <a:spLocks/>
            </xdr:cNvSpPr>
          </xdr:nvSpPr>
          <xdr:spPr>
            <a:xfrm>
              <a:off x="16550" y="205"/>
              <a:ext cx="60" cy="18185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AutoShape 28"/>
            <xdr:cNvSpPr>
              <a:spLocks/>
            </xdr:cNvSpPr>
          </xdr:nvSpPr>
          <xdr:spPr>
            <a:xfrm>
              <a:off x="18" y="0"/>
              <a:ext cx="3362" cy="21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AutoShape 29"/>
            <xdr:cNvSpPr>
              <a:spLocks/>
            </xdr:cNvSpPr>
          </xdr:nvSpPr>
          <xdr:spPr>
            <a:xfrm flipH="1">
              <a:off x="16550" y="0"/>
              <a:ext cx="3362" cy="21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11" name="Group 30"/>
            <xdr:cNvGrpSpPr>
              <a:grpSpLocks/>
            </xdr:cNvGrpSpPr>
          </xdr:nvGrpSpPr>
          <xdr:grpSpPr>
            <a:xfrm>
              <a:off x="9065" y="1430"/>
              <a:ext cx="7540" cy="15940"/>
              <a:chOff x="0" y="0"/>
              <a:chExt cx="20000" cy="19942"/>
            </a:xfrm>
            <a:solidFill>
              <a:srgbClr val="FFFFFF"/>
            </a:solidFill>
          </xdr:grpSpPr>
          <xdr:grpSp>
            <xdr:nvGrpSpPr>
              <xdr:cNvPr id="12" name="Group 31"/>
              <xdr:cNvGrpSpPr>
                <a:grpSpLocks/>
              </xdr:cNvGrpSpPr>
            </xdr:nvGrpSpPr>
            <xdr:grpSpPr>
              <a:xfrm>
                <a:off x="0" y="0"/>
                <a:ext cx="20000" cy="15854"/>
                <a:chOff x="0" y="0"/>
                <a:chExt cx="20000" cy="19035"/>
              </a:xfrm>
              <a:solidFill>
                <a:srgbClr val="FFFFFF"/>
              </a:solidFill>
            </xdr:grpSpPr>
            <xdr:grpSp>
              <xdr:nvGrpSpPr>
                <xdr:cNvPr id="13" name="Group 32"/>
                <xdr:cNvGrpSpPr>
                  <a:grpSpLocks/>
                </xdr:cNvGrpSpPr>
              </xdr:nvGrpSpPr>
              <xdr:grpSpPr>
                <a:xfrm>
                  <a:off x="0" y="0"/>
                  <a:ext cx="19230" cy="9213"/>
                  <a:chOff x="0" y="0"/>
                  <a:chExt cx="20000" cy="18422"/>
                </a:xfrm>
                <a:solidFill>
                  <a:srgbClr val="FFFFFF"/>
                </a:solidFill>
              </xdr:grpSpPr>
              <xdr:grpSp>
                <xdr:nvGrpSpPr>
                  <xdr:cNvPr id="14" name="Group 33"/>
                  <xdr:cNvGrpSpPr>
                    <a:grpSpLocks/>
                  </xdr:cNvGrpSpPr>
                </xdr:nvGrpSpPr>
                <xdr:grpSpPr>
                  <a:xfrm>
                    <a:off x="0" y="0"/>
                    <a:ext cx="19360" cy="8603"/>
                    <a:chOff x="0" y="0"/>
                    <a:chExt cx="20000" cy="18642"/>
                  </a:xfrm>
                  <a:solidFill>
                    <a:srgbClr val="FFFFFF"/>
                  </a:solidFill>
                </xdr:grpSpPr>
                <xdr:grpSp>
                  <xdr:nvGrpSpPr>
                    <xdr:cNvPr id="15" name="Group 34"/>
                    <xdr:cNvGrpSpPr>
                      <a:grpSpLocks/>
                    </xdr:cNvGrpSpPr>
                  </xdr:nvGrpSpPr>
                  <xdr:grpSpPr>
                    <a:xfrm>
                      <a:off x="0" y="0"/>
                      <a:ext cx="19505" cy="8007"/>
                      <a:chOff x="0" y="0"/>
                      <a:chExt cx="20000" cy="18789"/>
                    </a:xfrm>
                    <a:solidFill>
                      <a:srgbClr val="FFFFFF"/>
                    </a:solidFill>
                  </xdr:grpSpPr>
                  <xdr:grpSp>
                    <xdr:nvGrpSpPr>
                      <xdr:cNvPr id="16" name="Group 35"/>
                      <xdr:cNvGrpSpPr>
                        <a:grpSpLocks/>
                      </xdr:cNvGrpSpPr>
                    </xdr:nvGrpSpPr>
                    <xdr:grpSpPr>
                      <a:xfrm>
                        <a:off x="0" y="0"/>
                        <a:ext cx="19660" cy="6285"/>
                        <a:chOff x="0" y="0"/>
                        <a:chExt cx="20000" cy="18746"/>
                      </a:xfrm>
                      <a:solidFill>
                        <a:srgbClr val="FFFFFF"/>
                      </a:solidFill>
                    </xdr:grpSpPr>
                    <xdr:sp>
                      <xdr:nvSpPr>
                        <xdr:cNvPr id="17" name="AutoShape 36"/>
                        <xdr:cNvSpPr>
                          <a:spLocks/>
                        </xdr:cNvSpPr>
                      </xdr:nvSpPr>
                      <xdr:spPr>
                        <a:xfrm>
                          <a:off x="0" y="0"/>
                          <a:ext cx="19830" cy="183"/>
                        </a:xfrm>
                        <a:prstGeom prst="line">
                          <a:avLst/>
                        </a:prstGeom>
                        <a:solidFill>
                          <a:srgbClr val="FFFFFF"/>
                        </a:solidFill>
                        <a:ln w="9525" cmpd="sng">
                          <a:solidFill>
                            <a:srgbClr val="000000"/>
                          </a:solidFill>
                          <a:headEnd type="none"/>
                          <a:tailEnd type="none"/>
                        </a:ln>
                      </xdr:spPr>
                      <xdr:txBody>
                        <a:bodyPr vertOverflow="clip" wrap="square" lIns="91440" tIns="45720" rIns="91440" bIns="45720"/>
                        <a:p>
                          <a:pPr algn="l">
                            <a:defRPr/>
                          </a:pPr>
                          <a:r>
                            <a:rPr lang="en-US" cap="none" u="none" baseline="0">
                              <a:latin typeface="Arial"/>
                              <a:ea typeface="Arial"/>
                              <a:cs typeface="Arial"/>
                            </a:rPr>
                            <a:t/>
                          </a:r>
                        </a:p>
                      </xdr:txBody>
                    </xdr:sp>
                    <xdr:sp>
                      <xdr:nvSpPr>
                        <xdr:cNvPr id="18" name="AutoShape 37"/>
                        <xdr:cNvSpPr>
                          <a:spLocks/>
                        </xdr:cNvSpPr>
                      </xdr:nvSpPr>
                      <xdr:spPr>
                        <a:xfrm>
                          <a:off x="170" y="18591"/>
                          <a:ext cx="19830" cy="155"/>
                        </a:xfrm>
                        <a:prstGeom prst="line">
                          <a:avLst/>
                        </a:prstGeom>
                        <a:solidFill>
                          <a:srgbClr val="FFFFFF"/>
                        </a:solidFill>
                        <a:ln w="9525" cmpd="sng">
                          <a:solidFill>
                            <a:srgbClr val="000000"/>
                          </a:solidFill>
                          <a:headEnd type="none"/>
                          <a:tailEnd type="none"/>
                        </a:ln>
                      </xdr:spPr>
                      <xdr:txBody>
                        <a:bodyPr vertOverflow="clip" wrap="square" lIns="91440" tIns="45720" rIns="91440" bIns="45720"/>
                        <a:p>
                          <a:pPr algn="l">
                            <a:defRPr/>
                          </a:pPr>
                          <a:r>
                            <a:rPr lang="en-US" cap="none" u="none" baseline="0">
                              <a:latin typeface="Arial"/>
                              <a:ea typeface="Arial"/>
                              <a:cs typeface="Arial"/>
                            </a:rPr>
                            <a:t/>
                          </a:r>
                        </a:p>
                      </xdr:txBody>
                    </xdr:sp>
                  </xdr:grpSp>
                  <xdr:grpSp>
                    <xdr:nvGrpSpPr>
                      <xdr:cNvPr id="19" name="Group 38"/>
                      <xdr:cNvGrpSpPr>
                        <a:grpSpLocks/>
                      </xdr:cNvGrpSpPr>
                    </xdr:nvGrpSpPr>
                    <xdr:grpSpPr>
                      <a:xfrm>
                        <a:off x="340" y="12476"/>
                        <a:ext cx="19660" cy="6313"/>
                        <a:chOff x="0" y="70"/>
                        <a:chExt cx="20000" cy="19977"/>
                      </a:xfrm>
                      <a:solidFill>
                        <a:srgbClr val="FFFFFF"/>
                      </a:solidFill>
                    </xdr:grpSpPr>
                    <xdr:sp>
                      <xdr:nvSpPr>
                        <xdr:cNvPr id="20" name="AutoShape 39"/>
                        <xdr:cNvSpPr>
                          <a:spLocks/>
                        </xdr:cNvSpPr>
                      </xdr:nvSpPr>
                      <xdr:spPr>
                        <a:xfrm>
                          <a:off x="0" y="70"/>
                          <a:ext cx="19830" cy="195"/>
                        </a:xfrm>
                        <a:prstGeom prst="line">
                          <a:avLst/>
                        </a:prstGeom>
                        <a:solidFill>
                          <a:srgbClr val="FFFFFF"/>
                        </a:solidFill>
                        <a:ln w="9525" cmpd="sng">
                          <a:solidFill>
                            <a:srgbClr val="000000"/>
                          </a:solidFill>
                          <a:headEnd type="none"/>
                          <a:tailEnd type="none"/>
                        </a:ln>
                      </xdr:spPr>
                      <xdr:txBody>
                        <a:bodyPr vertOverflow="clip" wrap="square" lIns="91440" tIns="45720" rIns="91440" bIns="45720"/>
                        <a:p>
                          <a:pPr algn="l">
                            <a:defRPr/>
                          </a:pPr>
                          <a:r>
                            <a:rPr lang="en-US" cap="none" u="none" baseline="0">
                              <a:latin typeface="Arial"/>
                              <a:ea typeface="Arial"/>
                              <a:cs typeface="Arial"/>
                            </a:rPr>
                            <a:t/>
                          </a:r>
                        </a:p>
                      </xdr:txBody>
                    </xdr:sp>
                    <xdr:sp>
                      <xdr:nvSpPr>
                        <xdr:cNvPr id="21" name="AutoShape 40"/>
                        <xdr:cNvSpPr>
                          <a:spLocks/>
                        </xdr:cNvSpPr>
                      </xdr:nvSpPr>
                      <xdr:spPr>
                        <a:xfrm>
                          <a:off x="175" y="19852"/>
                          <a:ext cx="19825" cy="195"/>
                        </a:xfrm>
                        <a:prstGeom prst="line">
                          <a:avLst/>
                        </a:prstGeom>
                        <a:solidFill>
                          <a:srgbClr val="FFFFFF"/>
                        </a:solidFill>
                        <a:ln w="9525" cmpd="sng">
                          <a:solidFill>
                            <a:srgbClr val="000000"/>
                          </a:solidFill>
                          <a:headEnd type="none"/>
                          <a:tailEnd type="none"/>
                        </a:ln>
                      </xdr:spPr>
                      <xdr:txBody>
                        <a:bodyPr vertOverflow="clip" wrap="square" lIns="91440" tIns="45720" rIns="91440" bIns="45720"/>
                        <a:p>
                          <a:pPr algn="l">
                            <a:defRPr/>
                          </a:pPr>
                          <a:r>
                            <a:rPr lang="en-US" cap="none" u="none" baseline="0">
                              <a:latin typeface="Arial"/>
                              <a:ea typeface="Arial"/>
                              <a:cs typeface="Arial"/>
                            </a:rPr>
                            <a:t/>
                          </a:r>
                        </a:p>
                      </xdr:txBody>
                    </xdr:sp>
                  </xdr:grpSp>
                </xdr:grpSp>
                <xdr:grpSp>
                  <xdr:nvGrpSpPr>
                    <xdr:cNvPr id="22" name="Group 41"/>
                    <xdr:cNvGrpSpPr>
                      <a:grpSpLocks/>
                    </xdr:cNvGrpSpPr>
                  </xdr:nvGrpSpPr>
                  <xdr:grpSpPr>
                    <a:xfrm>
                      <a:off x="495" y="10649"/>
                      <a:ext cx="19505" cy="7993"/>
                      <a:chOff x="0" y="0"/>
                      <a:chExt cx="20000" cy="19680"/>
                    </a:xfrm>
                    <a:solidFill>
                      <a:srgbClr val="FFFFFF"/>
                    </a:solidFill>
                  </xdr:grpSpPr>
                  <xdr:grpSp>
                    <xdr:nvGrpSpPr>
                      <xdr:cNvPr id="23" name="Group 42"/>
                      <xdr:cNvGrpSpPr>
                        <a:grpSpLocks/>
                      </xdr:cNvGrpSpPr>
                    </xdr:nvGrpSpPr>
                    <xdr:grpSpPr>
                      <a:xfrm>
                        <a:off x="0" y="0"/>
                        <a:ext cx="19660" cy="6593"/>
                        <a:chOff x="0" y="68"/>
                        <a:chExt cx="20000" cy="19776"/>
                      </a:xfrm>
                      <a:solidFill>
                        <a:srgbClr val="FFFFFF"/>
                      </a:solidFill>
                    </xdr:grpSpPr>
                    <xdr:sp>
                      <xdr:nvSpPr>
                        <xdr:cNvPr id="24" name="AutoShape 43"/>
                        <xdr:cNvSpPr>
                          <a:spLocks/>
                        </xdr:cNvSpPr>
                      </xdr:nvSpPr>
                      <xdr:spPr>
                        <a:xfrm>
                          <a:off x="0" y="68"/>
                          <a:ext cx="19830" cy="94"/>
                        </a:xfrm>
                        <a:prstGeom prst="line">
                          <a:avLst/>
                        </a:prstGeom>
                        <a:solidFill>
                          <a:srgbClr val="FFFFFF"/>
                        </a:solidFill>
                        <a:ln w="9525" cmpd="sng">
                          <a:solidFill>
                            <a:srgbClr val="000000"/>
                          </a:solidFill>
                          <a:headEnd type="none"/>
                          <a:tailEnd type="none"/>
                        </a:ln>
                      </xdr:spPr>
                      <xdr:txBody>
                        <a:bodyPr vertOverflow="clip" wrap="square" lIns="91440" tIns="45720" rIns="91440" bIns="45720"/>
                        <a:p>
                          <a:pPr algn="l">
                            <a:defRPr/>
                          </a:pPr>
                          <a:r>
                            <a:rPr lang="en-US" cap="none" u="none" baseline="0">
                              <a:latin typeface="Arial"/>
                              <a:ea typeface="Arial"/>
                              <a:cs typeface="Arial"/>
                            </a:rPr>
                            <a:t/>
                          </a:r>
                        </a:p>
                      </xdr:txBody>
                    </xdr:sp>
                    <xdr:sp>
                      <xdr:nvSpPr>
                        <xdr:cNvPr id="25" name="AutoShape 44"/>
                        <xdr:cNvSpPr>
                          <a:spLocks/>
                        </xdr:cNvSpPr>
                      </xdr:nvSpPr>
                      <xdr:spPr>
                        <a:xfrm>
                          <a:off x="170" y="19651"/>
                          <a:ext cx="19830" cy="193"/>
                        </a:xfrm>
                        <a:prstGeom prst="line">
                          <a:avLst/>
                        </a:prstGeom>
                        <a:solidFill>
                          <a:srgbClr val="FFFFFF"/>
                        </a:solidFill>
                        <a:ln w="9525" cmpd="sng">
                          <a:solidFill>
                            <a:srgbClr val="000000"/>
                          </a:solidFill>
                          <a:headEnd type="none"/>
                          <a:tailEnd type="none"/>
                        </a:ln>
                      </xdr:spPr>
                      <xdr:txBody>
                        <a:bodyPr vertOverflow="clip" wrap="square" lIns="91440" tIns="45720" rIns="91440" bIns="45720"/>
                        <a:p>
                          <a:pPr algn="l">
                            <a:defRPr/>
                          </a:pPr>
                          <a:r>
                            <a:rPr lang="en-US" cap="none" u="none" baseline="0">
                              <a:latin typeface="Arial"/>
                              <a:ea typeface="Arial"/>
                              <a:cs typeface="Arial"/>
                            </a:rPr>
                            <a:t/>
                          </a:r>
                        </a:p>
                      </xdr:txBody>
                    </xdr:sp>
                  </xdr:grpSp>
                  <xdr:grpSp>
                    <xdr:nvGrpSpPr>
                      <xdr:cNvPr id="26" name="Group 45"/>
                      <xdr:cNvGrpSpPr>
                        <a:grpSpLocks/>
                      </xdr:cNvGrpSpPr>
                    </xdr:nvGrpSpPr>
                    <xdr:grpSpPr>
                      <a:xfrm>
                        <a:off x="340" y="13087"/>
                        <a:ext cx="19660" cy="6593"/>
                        <a:chOff x="0" y="0"/>
                        <a:chExt cx="20000" cy="19982"/>
                      </a:xfrm>
                      <a:solidFill>
                        <a:srgbClr val="FFFFFF"/>
                      </a:solidFill>
                    </xdr:grpSpPr>
                    <xdr:sp>
                      <xdr:nvSpPr>
                        <xdr:cNvPr id="27" name="AutoShape 46"/>
                        <xdr:cNvSpPr>
                          <a:spLocks/>
                        </xdr:cNvSpPr>
                      </xdr:nvSpPr>
                      <xdr:spPr>
                        <a:xfrm>
                          <a:off x="0" y="0"/>
                          <a:ext cx="19830" cy="95"/>
                        </a:xfrm>
                        <a:prstGeom prst="line">
                          <a:avLst/>
                        </a:prstGeom>
                        <a:solidFill>
                          <a:srgbClr val="FFFFFF"/>
                        </a:solidFill>
                        <a:ln w="9525" cmpd="sng">
                          <a:solidFill>
                            <a:srgbClr val="000000"/>
                          </a:solidFill>
                          <a:headEnd type="none"/>
                          <a:tailEnd type="none"/>
                        </a:ln>
                      </xdr:spPr>
                      <xdr:txBody>
                        <a:bodyPr vertOverflow="clip" wrap="square" lIns="91440" tIns="45720" rIns="91440" bIns="45720"/>
                        <a:p>
                          <a:pPr algn="l">
                            <a:defRPr/>
                          </a:pPr>
                          <a:r>
                            <a:rPr lang="en-US" cap="none" u="none" baseline="0">
                              <a:latin typeface="Arial"/>
                              <a:ea typeface="Arial"/>
                              <a:cs typeface="Arial"/>
                            </a:rPr>
                            <a:t/>
                          </a:r>
                        </a:p>
                      </xdr:txBody>
                    </xdr:sp>
                    <xdr:sp>
                      <xdr:nvSpPr>
                        <xdr:cNvPr id="28" name="AutoShape 47"/>
                        <xdr:cNvSpPr>
                          <a:spLocks/>
                        </xdr:cNvSpPr>
                      </xdr:nvSpPr>
                      <xdr:spPr>
                        <a:xfrm>
                          <a:off x="175" y="19787"/>
                          <a:ext cx="19825" cy="195"/>
                        </a:xfrm>
                        <a:prstGeom prst="line">
                          <a:avLst/>
                        </a:prstGeom>
                        <a:solidFill>
                          <a:srgbClr val="FFFFFF"/>
                        </a:solidFill>
                        <a:ln w="9525" cmpd="sng">
                          <a:solidFill>
                            <a:srgbClr val="000000"/>
                          </a:solidFill>
                          <a:headEnd type="none"/>
                          <a:tailEnd type="none"/>
                        </a:ln>
                      </xdr:spPr>
                      <xdr:txBody>
                        <a:bodyPr vertOverflow="clip" wrap="square" lIns="91440" tIns="45720" rIns="91440" bIns="45720"/>
                        <a:p>
                          <a:pPr algn="l">
                            <a:defRPr/>
                          </a:pPr>
                          <a:r>
                            <a:rPr lang="en-US" cap="none" u="none" baseline="0">
                              <a:latin typeface="Arial"/>
                              <a:ea typeface="Arial"/>
                              <a:cs typeface="Arial"/>
                            </a:rPr>
                            <a:t/>
                          </a:r>
                        </a:p>
                      </xdr:txBody>
                    </xdr:sp>
                  </xdr:grpSp>
                </xdr:grpSp>
              </xdr:grpSp>
              <xdr:grpSp>
                <xdr:nvGrpSpPr>
                  <xdr:cNvPr id="29" name="Group 48"/>
                  <xdr:cNvGrpSpPr>
                    <a:grpSpLocks/>
                  </xdr:cNvGrpSpPr>
                </xdr:nvGrpSpPr>
                <xdr:grpSpPr>
                  <a:xfrm>
                    <a:off x="640" y="9824"/>
                    <a:ext cx="19360" cy="8598"/>
                    <a:chOff x="0" y="0"/>
                    <a:chExt cx="20000" cy="20067"/>
                  </a:xfrm>
                  <a:solidFill>
                    <a:srgbClr val="FFFFFF"/>
                  </a:solidFill>
                </xdr:grpSpPr>
                <xdr:grpSp>
                  <xdr:nvGrpSpPr>
                    <xdr:cNvPr id="30" name="Group 49"/>
                    <xdr:cNvGrpSpPr>
                      <a:grpSpLocks/>
                    </xdr:cNvGrpSpPr>
                  </xdr:nvGrpSpPr>
                  <xdr:grpSpPr>
                    <a:xfrm>
                      <a:off x="0" y="0"/>
                      <a:ext cx="19505" cy="8609"/>
                      <a:chOff x="0" y="0"/>
                      <a:chExt cx="20000" cy="19988"/>
                    </a:xfrm>
                    <a:solidFill>
                      <a:srgbClr val="FFFFFF"/>
                    </a:solidFill>
                  </xdr:grpSpPr>
                  <xdr:grpSp>
                    <xdr:nvGrpSpPr>
                      <xdr:cNvPr id="31" name="Group 50"/>
                      <xdr:cNvGrpSpPr>
                        <a:grpSpLocks/>
                      </xdr:cNvGrpSpPr>
                    </xdr:nvGrpSpPr>
                    <xdr:grpSpPr>
                      <a:xfrm>
                        <a:off x="0" y="0"/>
                        <a:ext cx="19660" cy="6696"/>
                        <a:chOff x="0" y="0"/>
                        <a:chExt cx="20000" cy="19982"/>
                      </a:xfrm>
                      <a:solidFill>
                        <a:srgbClr val="FFFFFF"/>
                      </a:solidFill>
                    </xdr:grpSpPr>
                    <xdr:sp>
                      <xdr:nvSpPr>
                        <xdr:cNvPr id="32" name="AutoShape 51"/>
                        <xdr:cNvSpPr>
                          <a:spLocks/>
                        </xdr:cNvSpPr>
                      </xdr:nvSpPr>
                      <xdr:spPr>
                        <a:xfrm>
                          <a:off x="0" y="0"/>
                          <a:ext cx="19830" cy="195"/>
                        </a:xfrm>
                        <a:prstGeom prst="line">
                          <a:avLst/>
                        </a:prstGeom>
                        <a:solidFill>
                          <a:srgbClr val="FFFFFF"/>
                        </a:solidFill>
                        <a:ln w="9525" cmpd="sng">
                          <a:solidFill>
                            <a:srgbClr val="000000"/>
                          </a:solidFill>
                          <a:headEnd type="none"/>
                          <a:tailEnd type="none"/>
                        </a:ln>
                      </xdr:spPr>
                      <xdr:txBody>
                        <a:bodyPr vertOverflow="clip" wrap="square" lIns="91440" tIns="45720" rIns="91440" bIns="45720"/>
                        <a:p>
                          <a:pPr algn="l">
                            <a:defRPr/>
                          </a:pPr>
                          <a:r>
                            <a:rPr lang="en-US" cap="none" u="none" baseline="0">
                              <a:latin typeface="Arial"/>
                              <a:ea typeface="Arial"/>
                              <a:cs typeface="Arial"/>
                            </a:rPr>
                            <a:t/>
                          </a:r>
                        </a:p>
                      </xdr:txBody>
                    </xdr:sp>
                    <xdr:sp>
                      <xdr:nvSpPr>
                        <xdr:cNvPr id="33" name="AutoShape 52"/>
                        <xdr:cNvSpPr>
                          <a:spLocks/>
                        </xdr:cNvSpPr>
                      </xdr:nvSpPr>
                      <xdr:spPr>
                        <a:xfrm>
                          <a:off x="170" y="19887"/>
                          <a:ext cx="19830" cy="95"/>
                        </a:xfrm>
                        <a:prstGeom prst="line">
                          <a:avLst/>
                        </a:prstGeom>
                        <a:solidFill>
                          <a:srgbClr val="FFFFFF"/>
                        </a:solidFill>
                        <a:ln w="9525" cmpd="sng">
                          <a:solidFill>
                            <a:srgbClr val="000000"/>
                          </a:solidFill>
                          <a:headEnd type="none"/>
                          <a:tailEnd type="none"/>
                        </a:ln>
                      </xdr:spPr>
                      <xdr:txBody>
                        <a:bodyPr vertOverflow="clip" wrap="square" lIns="91440" tIns="45720" rIns="91440" bIns="45720"/>
                        <a:p>
                          <a:pPr algn="l">
                            <a:defRPr/>
                          </a:pPr>
                          <a:r>
                            <a:rPr lang="en-US" cap="none" u="none" baseline="0">
                              <a:latin typeface="Arial"/>
                              <a:ea typeface="Arial"/>
                              <a:cs typeface="Arial"/>
                            </a:rPr>
                            <a:t/>
                          </a:r>
                        </a:p>
                      </xdr:txBody>
                    </xdr:sp>
                  </xdr:grpSp>
                  <xdr:grpSp>
                    <xdr:nvGrpSpPr>
                      <xdr:cNvPr id="34" name="Group 53"/>
                      <xdr:cNvGrpSpPr>
                        <a:grpSpLocks/>
                      </xdr:cNvGrpSpPr>
                    </xdr:nvGrpSpPr>
                    <xdr:grpSpPr>
                      <a:xfrm>
                        <a:off x="340" y="13292"/>
                        <a:ext cx="19660" cy="6696"/>
                        <a:chOff x="0" y="0"/>
                        <a:chExt cx="20000" cy="19982"/>
                      </a:xfrm>
                      <a:solidFill>
                        <a:srgbClr val="FFFFFF"/>
                      </a:solidFill>
                    </xdr:grpSpPr>
                    <xdr:sp>
                      <xdr:nvSpPr>
                        <xdr:cNvPr id="35" name="AutoShape 54"/>
                        <xdr:cNvSpPr>
                          <a:spLocks/>
                        </xdr:cNvSpPr>
                      </xdr:nvSpPr>
                      <xdr:spPr>
                        <a:xfrm>
                          <a:off x="0" y="0"/>
                          <a:ext cx="19830" cy="195"/>
                        </a:xfrm>
                        <a:prstGeom prst="line">
                          <a:avLst/>
                        </a:prstGeom>
                        <a:solidFill>
                          <a:srgbClr val="FFFFFF"/>
                        </a:solidFill>
                        <a:ln w="9525" cmpd="sng">
                          <a:solidFill>
                            <a:srgbClr val="000000"/>
                          </a:solidFill>
                          <a:headEnd type="none"/>
                          <a:tailEnd type="none"/>
                        </a:ln>
                      </xdr:spPr>
                      <xdr:txBody>
                        <a:bodyPr vertOverflow="clip" wrap="square" lIns="91440" tIns="45720" rIns="91440" bIns="45720"/>
                        <a:p>
                          <a:pPr algn="l">
                            <a:defRPr/>
                          </a:pPr>
                          <a:r>
                            <a:rPr lang="en-US" cap="none" u="none" baseline="0">
                              <a:latin typeface="Arial"/>
                              <a:ea typeface="Arial"/>
                              <a:cs typeface="Arial"/>
                            </a:rPr>
                            <a:t/>
                          </a:r>
                        </a:p>
                      </xdr:txBody>
                    </xdr:sp>
                    <xdr:sp>
                      <xdr:nvSpPr>
                        <xdr:cNvPr id="36" name="AutoShape 55"/>
                        <xdr:cNvSpPr>
                          <a:spLocks/>
                        </xdr:cNvSpPr>
                      </xdr:nvSpPr>
                      <xdr:spPr>
                        <a:xfrm>
                          <a:off x="175" y="19887"/>
                          <a:ext cx="19825" cy="95"/>
                        </a:xfrm>
                        <a:prstGeom prst="line">
                          <a:avLst/>
                        </a:prstGeom>
                        <a:solidFill>
                          <a:srgbClr val="FFFFFF"/>
                        </a:solidFill>
                        <a:ln w="9525" cmpd="sng">
                          <a:solidFill>
                            <a:srgbClr val="000000"/>
                          </a:solidFill>
                          <a:headEnd type="none"/>
                          <a:tailEnd type="none"/>
                        </a:ln>
                      </xdr:spPr>
                      <xdr:txBody>
                        <a:bodyPr vertOverflow="clip" wrap="square" lIns="91440" tIns="45720" rIns="91440" bIns="45720"/>
                        <a:p>
                          <a:pPr algn="l">
                            <a:defRPr/>
                          </a:pPr>
                          <a:r>
                            <a:rPr lang="en-US" cap="none" u="none" baseline="0">
                              <a:latin typeface="Arial"/>
                              <a:ea typeface="Arial"/>
                              <a:cs typeface="Arial"/>
                            </a:rPr>
                            <a:t/>
                          </a:r>
                        </a:p>
                      </xdr:txBody>
                    </xdr:sp>
                  </xdr:grpSp>
                </xdr:grpSp>
                <xdr:grpSp>
                  <xdr:nvGrpSpPr>
                    <xdr:cNvPr id="37" name="Group 56"/>
                    <xdr:cNvGrpSpPr>
                      <a:grpSpLocks/>
                    </xdr:cNvGrpSpPr>
                  </xdr:nvGrpSpPr>
                  <xdr:grpSpPr>
                    <a:xfrm>
                      <a:off x="495" y="11443"/>
                      <a:ext cx="19505" cy="8624"/>
                      <a:chOff x="0" y="-21"/>
                      <a:chExt cx="20000" cy="20021"/>
                    </a:xfrm>
                    <a:solidFill>
                      <a:srgbClr val="FFFFFF"/>
                    </a:solidFill>
                  </xdr:grpSpPr>
                  <xdr:grpSp>
                    <xdr:nvGrpSpPr>
                      <xdr:cNvPr id="38" name="Group 57"/>
                      <xdr:cNvGrpSpPr>
                        <a:grpSpLocks/>
                      </xdr:cNvGrpSpPr>
                    </xdr:nvGrpSpPr>
                    <xdr:grpSpPr>
                      <a:xfrm>
                        <a:off x="0" y="-21"/>
                        <a:ext cx="19660" cy="6727"/>
                        <a:chOff x="0" y="0"/>
                        <a:chExt cx="20000" cy="19977"/>
                      </a:xfrm>
                      <a:solidFill>
                        <a:srgbClr val="FFFFFF"/>
                      </a:solidFill>
                    </xdr:grpSpPr>
                    <xdr:sp>
                      <xdr:nvSpPr>
                        <xdr:cNvPr id="39" name="AutoShape 58"/>
                        <xdr:cNvSpPr>
                          <a:spLocks/>
                        </xdr:cNvSpPr>
                      </xdr:nvSpPr>
                      <xdr:spPr>
                        <a:xfrm>
                          <a:off x="0" y="0"/>
                          <a:ext cx="19830" cy="195"/>
                        </a:xfrm>
                        <a:prstGeom prst="line">
                          <a:avLst/>
                        </a:prstGeom>
                        <a:solidFill>
                          <a:srgbClr val="FFFFFF"/>
                        </a:solidFill>
                        <a:ln w="9525" cmpd="sng">
                          <a:solidFill>
                            <a:srgbClr val="000000"/>
                          </a:solidFill>
                          <a:headEnd type="none"/>
                          <a:tailEnd type="none"/>
                        </a:ln>
                      </xdr:spPr>
                      <xdr:txBody>
                        <a:bodyPr vertOverflow="clip" wrap="square" lIns="91440" tIns="45720" rIns="91440" bIns="45720"/>
                        <a:p>
                          <a:pPr algn="l">
                            <a:defRPr/>
                          </a:pPr>
                          <a:r>
                            <a:rPr lang="en-US" cap="none" u="none" baseline="0">
                              <a:latin typeface="Arial"/>
                              <a:ea typeface="Arial"/>
                              <a:cs typeface="Arial"/>
                            </a:rPr>
                            <a:t/>
                          </a:r>
                        </a:p>
                      </xdr:txBody>
                    </xdr:sp>
                    <xdr:sp>
                      <xdr:nvSpPr>
                        <xdr:cNvPr id="40" name="AutoShape 59"/>
                        <xdr:cNvSpPr>
                          <a:spLocks/>
                        </xdr:cNvSpPr>
                      </xdr:nvSpPr>
                      <xdr:spPr>
                        <a:xfrm>
                          <a:off x="170" y="19782"/>
                          <a:ext cx="19830" cy="195"/>
                        </a:xfrm>
                        <a:prstGeom prst="line">
                          <a:avLst/>
                        </a:prstGeom>
                        <a:solidFill>
                          <a:srgbClr val="FFFFFF"/>
                        </a:solidFill>
                        <a:ln w="9525" cmpd="sng">
                          <a:solidFill>
                            <a:srgbClr val="000000"/>
                          </a:solidFill>
                          <a:headEnd type="none"/>
                          <a:tailEnd type="none"/>
                        </a:ln>
                      </xdr:spPr>
                      <xdr:txBody>
                        <a:bodyPr vertOverflow="clip" wrap="square" lIns="91440" tIns="45720" rIns="91440" bIns="45720"/>
                        <a:p>
                          <a:pPr algn="l">
                            <a:defRPr/>
                          </a:pPr>
                          <a:r>
                            <a:rPr lang="en-US" cap="none" u="none" baseline="0">
                              <a:latin typeface="Arial"/>
                              <a:ea typeface="Arial"/>
                              <a:cs typeface="Arial"/>
                            </a:rPr>
                            <a:t/>
                          </a:r>
                        </a:p>
                      </xdr:txBody>
                    </xdr:sp>
                  </xdr:grpSp>
                  <xdr:grpSp>
                    <xdr:nvGrpSpPr>
                      <xdr:cNvPr id="41" name="Group 60"/>
                      <xdr:cNvGrpSpPr>
                        <a:grpSpLocks/>
                      </xdr:cNvGrpSpPr>
                    </xdr:nvGrpSpPr>
                    <xdr:grpSpPr>
                      <a:xfrm>
                        <a:off x="340" y="13303"/>
                        <a:ext cx="19660" cy="6697"/>
                        <a:chOff x="0" y="0"/>
                        <a:chExt cx="20000" cy="20085"/>
                      </a:xfrm>
                      <a:solidFill>
                        <a:srgbClr val="FFFFFF"/>
                      </a:solidFill>
                    </xdr:grpSpPr>
                    <xdr:sp>
                      <xdr:nvSpPr>
                        <xdr:cNvPr id="42" name="AutoShape 61"/>
                        <xdr:cNvSpPr>
                          <a:spLocks/>
                        </xdr:cNvSpPr>
                      </xdr:nvSpPr>
                      <xdr:spPr>
                        <a:xfrm>
                          <a:off x="0" y="0"/>
                          <a:ext cx="19830" cy="95"/>
                        </a:xfrm>
                        <a:prstGeom prst="line">
                          <a:avLst/>
                        </a:prstGeom>
                        <a:solidFill>
                          <a:srgbClr val="FFFFFF"/>
                        </a:solidFill>
                        <a:ln w="9525" cmpd="sng">
                          <a:solidFill>
                            <a:srgbClr val="000000"/>
                          </a:solidFill>
                          <a:headEnd type="none"/>
                          <a:tailEnd type="none"/>
                        </a:ln>
                      </xdr:spPr>
                      <xdr:txBody>
                        <a:bodyPr vertOverflow="clip" wrap="square" lIns="91440" tIns="45720" rIns="91440" bIns="45720"/>
                        <a:p>
                          <a:pPr algn="l">
                            <a:defRPr/>
                          </a:pPr>
                          <a:r>
                            <a:rPr lang="en-US" cap="none" u="none" baseline="0">
                              <a:latin typeface="Arial"/>
                              <a:ea typeface="Arial"/>
                              <a:cs typeface="Arial"/>
                            </a:rPr>
                            <a:t/>
                          </a:r>
                        </a:p>
                      </xdr:txBody>
                    </xdr:sp>
                    <xdr:sp>
                      <xdr:nvSpPr>
                        <xdr:cNvPr id="43" name="AutoShape 62"/>
                        <xdr:cNvSpPr>
                          <a:spLocks/>
                        </xdr:cNvSpPr>
                      </xdr:nvSpPr>
                      <xdr:spPr>
                        <a:xfrm>
                          <a:off x="175" y="19889"/>
                          <a:ext cx="19825" cy="196"/>
                        </a:xfrm>
                        <a:prstGeom prst="line">
                          <a:avLst/>
                        </a:prstGeom>
                        <a:solidFill>
                          <a:srgbClr val="FFFFFF"/>
                        </a:solidFill>
                        <a:ln w="9525" cmpd="sng">
                          <a:solidFill>
                            <a:srgbClr val="000000"/>
                          </a:solidFill>
                          <a:headEnd type="none"/>
                          <a:tailEnd type="none"/>
                        </a:ln>
                      </xdr:spPr>
                      <xdr:txBody>
                        <a:bodyPr vertOverflow="clip" wrap="square" lIns="91440" tIns="45720" rIns="91440" bIns="45720"/>
                        <a:p>
                          <a:pPr algn="l">
                            <a:defRPr/>
                          </a:pPr>
                          <a:r>
                            <a:rPr lang="en-US" cap="none" u="none" baseline="0">
                              <a:latin typeface="Arial"/>
                              <a:ea typeface="Arial"/>
                              <a:cs typeface="Arial"/>
                            </a:rPr>
                            <a:t/>
                          </a:r>
                        </a:p>
                      </xdr:txBody>
                    </xdr:sp>
                  </xdr:grpSp>
                </xdr:grpSp>
              </xdr:grpSp>
            </xdr:grpSp>
            <xdr:grpSp>
              <xdr:nvGrpSpPr>
                <xdr:cNvPr id="44" name="Group 63"/>
                <xdr:cNvGrpSpPr>
                  <a:grpSpLocks/>
                </xdr:cNvGrpSpPr>
              </xdr:nvGrpSpPr>
              <xdr:grpSpPr>
                <a:xfrm>
                  <a:off x="770" y="9822"/>
                  <a:ext cx="19230" cy="9213"/>
                  <a:chOff x="0" y="4"/>
                  <a:chExt cx="20000" cy="21497"/>
                </a:xfrm>
                <a:solidFill>
                  <a:srgbClr val="FFFFFF"/>
                </a:solidFill>
              </xdr:grpSpPr>
              <xdr:grpSp>
                <xdr:nvGrpSpPr>
                  <xdr:cNvPr id="45" name="Group 64"/>
                  <xdr:cNvGrpSpPr>
                    <a:grpSpLocks/>
                  </xdr:cNvGrpSpPr>
                </xdr:nvGrpSpPr>
                <xdr:grpSpPr>
                  <a:xfrm>
                    <a:off x="0" y="4"/>
                    <a:ext cx="19360" cy="10034"/>
                    <a:chOff x="0" y="9"/>
                    <a:chExt cx="20000" cy="21499"/>
                  </a:xfrm>
                  <a:solidFill>
                    <a:srgbClr val="FFFFFF"/>
                  </a:solidFill>
                </xdr:grpSpPr>
                <xdr:grpSp>
                  <xdr:nvGrpSpPr>
                    <xdr:cNvPr id="46" name="Group 65"/>
                    <xdr:cNvGrpSpPr>
                      <a:grpSpLocks/>
                    </xdr:cNvGrpSpPr>
                  </xdr:nvGrpSpPr>
                  <xdr:grpSpPr>
                    <a:xfrm>
                      <a:off x="0" y="9"/>
                      <a:ext cx="19505" cy="9223"/>
                      <a:chOff x="0" y="21"/>
                      <a:chExt cx="20000" cy="21525"/>
                    </a:xfrm>
                    <a:solidFill>
                      <a:srgbClr val="FFFFFF"/>
                    </a:solidFill>
                  </xdr:grpSpPr>
                  <xdr:grpSp>
                    <xdr:nvGrpSpPr>
                      <xdr:cNvPr id="47" name="Group 66"/>
                      <xdr:cNvGrpSpPr>
                        <a:grpSpLocks/>
                      </xdr:cNvGrpSpPr>
                    </xdr:nvGrpSpPr>
                    <xdr:grpSpPr>
                      <a:xfrm>
                        <a:off x="0" y="21"/>
                        <a:ext cx="19660" cy="7211"/>
                        <a:chOff x="0" y="63"/>
                        <a:chExt cx="20000" cy="21424"/>
                      </a:xfrm>
                      <a:solidFill>
                        <a:srgbClr val="FFFFFF"/>
                      </a:solidFill>
                    </xdr:grpSpPr>
                    <xdr:sp>
                      <xdr:nvSpPr>
                        <xdr:cNvPr id="48" name="AutoShape 67"/>
                        <xdr:cNvSpPr>
                          <a:spLocks/>
                        </xdr:cNvSpPr>
                      </xdr:nvSpPr>
                      <xdr:spPr>
                        <a:xfrm>
                          <a:off x="0" y="63"/>
                          <a:ext cx="19830" cy="102"/>
                        </a:xfrm>
                        <a:prstGeom prst="line">
                          <a:avLst/>
                        </a:prstGeom>
                        <a:solidFill>
                          <a:srgbClr val="FFFFFF"/>
                        </a:solidFill>
                        <a:ln w="9525" cmpd="sng">
                          <a:solidFill>
                            <a:srgbClr val="000000"/>
                          </a:solidFill>
                          <a:headEnd type="none"/>
                          <a:tailEnd type="none"/>
                        </a:ln>
                      </xdr:spPr>
                      <xdr:txBody>
                        <a:bodyPr vertOverflow="clip" wrap="square" lIns="91440" tIns="45720" rIns="91440" bIns="45720"/>
                        <a:p>
                          <a:pPr algn="l">
                            <a:defRPr/>
                          </a:pPr>
                          <a:r>
                            <a:rPr lang="en-US" cap="none" u="none" baseline="0">
                              <a:latin typeface="Arial"/>
                              <a:ea typeface="Arial"/>
                              <a:cs typeface="Arial"/>
                            </a:rPr>
                            <a:t/>
                          </a:r>
                        </a:p>
                      </xdr:txBody>
                    </xdr:sp>
                    <xdr:sp>
                      <xdr:nvSpPr>
                        <xdr:cNvPr id="49" name="AutoShape 68"/>
                        <xdr:cNvSpPr>
                          <a:spLocks/>
                        </xdr:cNvSpPr>
                      </xdr:nvSpPr>
                      <xdr:spPr>
                        <a:xfrm>
                          <a:off x="170" y="21278"/>
                          <a:ext cx="19830" cy="209"/>
                        </a:xfrm>
                        <a:prstGeom prst="line">
                          <a:avLst/>
                        </a:prstGeom>
                        <a:solidFill>
                          <a:srgbClr val="FFFFFF"/>
                        </a:solidFill>
                        <a:ln w="9525" cmpd="sng">
                          <a:solidFill>
                            <a:srgbClr val="000000"/>
                          </a:solidFill>
                          <a:headEnd type="none"/>
                          <a:tailEnd type="none"/>
                        </a:ln>
                      </xdr:spPr>
                      <xdr:txBody>
                        <a:bodyPr vertOverflow="clip" wrap="square" lIns="91440" tIns="45720" rIns="91440" bIns="45720"/>
                        <a:p>
                          <a:pPr algn="l">
                            <a:defRPr/>
                          </a:pPr>
                          <a:r>
                            <a:rPr lang="en-US" cap="none" u="none" baseline="0">
                              <a:latin typeface="Arial"/>
                              <a:ea typeface="Arial"/>
                              <a:cs typeface="Arial"/>
                            </a:rPr>
                            <a:t/>
                          </a:r>
                        </a:p>
                      </xdr:txBody>
                    </xdr:sp>
                  </xdr:grpSp>
                  <xdr:grpSp>
                    <xdr:nvGrpSpPr>
                      <xdr:cNvPr id="50" name="Group 69"/>
                      <xdr:cNvGrpSpPr>
                        <a:grpSpLocks/>
                      </xdr:cNvGrpSpPr>
                    </xdr:nvGrpSpPr>
                    <xdr:grpSpPr>
                      <a:xfrm>
                        <a:off x="340" y="14335"/>
                        <a:ext cx="19660" cy="7211"/>
                        <a:chOff x="0" y="0"/>
                        <a:chExt cx="20000" cy="19982"/>
                      </a:xfrm>
                      <a:solidFill>
                        <a:srgbClr val="FFFFFF"/>
                      </a:solidFill>
                    </xdr:grpSpPr>
                    <xdr:sp>
                      <xdr:nvSpPr>
                        <xdr:cNvPr id="51" name="AutoShape 70"/>
                        <xdr:cNvSpPr>
                          <a:spLocks/>
                        </xdr:cNvSpPr>
                      </xdr:nvSpPr>
                      <xdr:spPr>
                        <a:xfrm>
                          <a:off x="0" y="0"/>
                          <a:ext cx="19830" cy="195"/>
                        </a:xfrm>
                        <a:prstGeom prst="line">
                          <a:avLst/>
                        </a:prstGeom>
                        <a:solidFill>
                          <a:srgbClr val="FFFFFF"/>
                        </a:solidFill>
                        <a:ln w="9525" cmpd="sng">
                          <a:solidFill>
                            <a:srgbClr val="000000"/>
                          </a:solidFill>
                          <a:headEnd type="none"/>
                          <a:tailEnd type="none"/>
                        </a:ln>
                      </xdr:spPr>
                      <xdr:txBody>
                        <a:bodyPr vertOverflow="clip" wrap="square" lIns="91440" tIns="45720" rIns="91440" bIns="45720"/>
                        <a:p>
                          <a:pPr algn="l">
                            <a:defRPr/>
                          </a:pPr>
                          <a:r>
                            <a:rPr lang="en-US" cap="none" u="none" baseline="0">
                              <a:latin typeface="Arial"/>
                              <a:ea typeface="Arial"/>
                              <a:cs typeface="Arial"/>
                            </a:rPr>
                            <a:t/>
                          </a:r>
                        </a:p>
                      </xdr:txBody>
                    </xdr:sp>
                    <xdr:sp>
                      <xdr:nvSpPr>
                        <xdr:cNvPr id="52" name="AutoShape 71"/>
                        <xdr:cNvSpPr>
                          <a:spLocks/>
                        </xdr:cNvSpPr>
                      </xdr:nvSpPr>
                      <xdr:spPr>
                        <a:xfrm>
                          <a:off x="175" y="19887"/>
                          <a:ext cx="19825" cy="95"/>
                        </a:xfrm>
                        <a:prstGeom prst="line">
                          <a:avLst/>
                        </a:prstGeom>
                        <a:solidFill>
                          <a:srgbClr val="FFFFFF"/>
                        </a:solidFill>
                        <a:ln w="9525" cmpd="sng">
                          <a:solidFill>
                            <a:srgbClr val="000000"/>
                          </a:solidFill>
                          <a:headEnd type="none"/>
                          <a:tailEnd type="none"/>
                        </a:ln>
                      </xdr:spPr>
                      <xdr:txBody>
                        <a:bodyPr vertOverflow="clip" wrap="square" lIns="91440" tIns="45720" rIns="91440" bIns="45720"/>
                        <a:p>
                          <a:pPr algn="l">
                            <a:defRPr/>
                          </a:pPr>
                          <a:r>
                            <a:rPr lang="en-US" cap="none" u="none" baseline="0">
                              <a:latin typeface="Arial"/>
                              <a:ea typeface="Arial"/>
                              <a:cs typeface="Arial"/>
                            </a:rPr>
                            <a:t/>
                          </a:r>
                        </a:p>
                      </xdr:txBody>
                    </xdr:sp>
                  </xdr:grpSp>
                </xdr:grpSp>
                <xdr:grpSp>
                  <xdr:nvGrpSpPr>
                    <xdr:cNvPr id="53" name="Group 72"/>
                    <xdr:cNvGrpSpPr>
                      <a:grpSpLocks/>
                    </xdr:cNvGrpSpPr>
                  </xdr:nvGrpSpPr>
                  <xdr:grpSpPr>
                    <a:xfrm>
                      <a:off x="495" y="12269"/>
                      <a:ext cx="19505" cy="9239"/>
                      <a:chOff x="0" y="-24"/>
                      <a:chExt cx="20000" cy="20021"/>
                    </a:xfrm>
                    <a:solidFill>
                      <a:srgbClr val="FFFFFF"/>
                    </a:solidFill>
                  </xdr:grpSpPr>
                  <xdr:grpSp>
                    <xdr:nvGrpSpPr>
                      <xdr:cNvPr id="54" name="Group 73"/>
                      <xdr:cNvGrpSpPr>
                        <a:grpSpLocks/>
                      </xdr:cNvGrpSpPr>
                    </xdr:nvGrpSpPr>
                    <xdr:grpSpPr>
                      <a:xfrm>
                        <a:off x="0" y="-24"/>
                        <a:ext cx="19660" cy="6727"/>
                        <a:chOff x="0" y="0"/>
                        <a:chExt cx="20000" cy="19977"/>
                      </a:xfrm>
                      <a:solidFill>
                        <a:srgbClr val="FFFFFF"/>
                      </a:solidFill>
                    </xdr:grpSpPr>
                    <xdr:sp>
                      <xdr:nvSpPr>
                        <xdr:cNvPr id="55" name="AutoShape 74"/>
                        <xdr:cNvSpPr>
                          <a:spLocks/>
                        </xdr:cNvSpPr>
                      </xdr:nvSpPr>
                      <xdr:spPr>
                        <a:xfrm>
                          <a:off x="0" y="0"/>
                          <a:ext cx="19830" cy="195"/>
                        </a:xfrm>
                        <a:prstGeom prst="line">
                          <a:avLst/>
                        </a:prstGeom>
                        <a:solidFill>
                          <a:srgbClr val="FFFFFF"/>
                        </a:solidFill>
                        <a:ln w="9525" cmpd="sng">
                          <a:solidFill>
                            <a:srgbClr val="000000"/>
                          </a:solidFill>
                          <a:headEnd type="none"/>
                          <a:tailEnd type="none"/>
                        </a:ln>
                      </xdr:spPr>
                      <xdr:txBody>
                        <a:bodyPr vertOverflow="clip" wrap="square" lIns="91440" tIns="45720" rIns="91440" bIns="45720"/>
                        <a:p>
                          <a:pPr algn="l">
                            <a:defRPr/>
                          </a:pPr>
                          <a:r>
                            <a:rPr lang="en-US" cap="none" u="none" baseline="0">
                              <a:latin typeface="Arial"/>
                              <a:ea typeface="Arial"/>
                              <a:cs typeface="Arial"/>
                            </a:rPr>
                            <a:t/>
                          </a:r>
                        </a:p>
                      </xdr:txBody>
                    </xdr:sp>
                    <xdr:sp>
                      <xdr:nvSpPr>
                        <xdr:cNvPr id="56" name="AutoShape 75"/>
                        <xdr:cNvSpPr>
                          <a:spLocks/>
                        </xdr:cNvSpPr>
                      </xdr:nvSpPr>
                      <xdr:spPr>
                        <a:xfrm>
                          <a:off x="175" y="19782"/>
                          <a:ext cx="19825" cy="195"/>
                        </a:xfrm>
                        <a:prstGeom prst="line">
                          <a:avLst/>
                        </a:prstGeom>
                        <a:solidFill>
                          <a:srgbClr val="FFFFFF"/>
                        </a:solidFill>
                        <a:ln w="9525" cmpd="sng">
                          <a:solidFill>
                            <a:srgbClr val="000000"/>
                          </a:solidFill>
                          <a:headEnd type="none"/>
                          <a:tailEnd type="none"/>
                        </a:ln>
                      </xdr:spPr>
                      <xdr:txBody>
                        <a:bodyPr vertOverflow="clip" wrap="square" lIns="91440" tIns="45720" rIns="91440" bIns="45720"/>
                        <a:p>
                          <a:pPr algn="l">
                            <a:defRPr/>
                          </a:pPr>
                          <a:r>
                            <a:rPr lang="en-US" cap="none" u="none" baseline="0">
                              <a:latin typeface="Arial"/>
                              <a:ea typeface="Arial"/>
                              <a:cs typeface="Arial"/>
                            </a:rPr>
                            <a:t/>
                          </a:r>
                        </a:p>
                      </xdr:txBody>
                    </xdr:sp>
                  </xdr:grpSp>
                  <xdr:grpSp>
                    <xdr:nvGrpSpPr>
                      <xdr:cNvPr id="57" name="Group 76"/>
                      <xdr:cNvGrpSpPr>
                        <a:grpSpLocks/>
                      </xdr:cNvGrpSpPr>
                    </xdr:nvGrpSpPr>
                    <xdr:grpSpPr>
                      <a:xfrm>
                        <a:off x="340" y="13300"/>
                        <a:ext cx="19660" cy="6697"/>
                        <a:chOff x="0" y="0"/>
                        <a:chExt cx="20000" cy="20085"/>
                      </a:xfrm>
                      <a:solidFill>
                        <a:srgbClr val="FFFFFF"/>
                      </a:solidFill>
                    </xdr:grpSpPr>
                    <xdr:sp>
                      <xdr:nvSpPr>
                        <xdr:cNvPr id="58" name="AutoShape 77"/>
                        <xdr:cNvSpPr>
                          <a:spLocks/>
                        </xdr:cNvSpPr>
                      </xdr:nvSpPr>
                      <xdr:spPr>
                        <a:xfrm>
                          <a:off x="0" y="0"/>
                          <a:ext cx="19830" cy="95"/>
                        </a:xfrm>
                        <a:prstGeom prst="line">
                          <a:avLst/>
                        </a:prstGeom>
                        <a:solidFill>
                          <a:srgbClr val="FFFFFF"/>
                        </a:solidFill>
                        <a:ln w="9525" cmpd="sng">
                          <a:solidFill>
                            <a:srgbClr val="000000"/>
                          </a:solidFill>
                          <a:headEnd type="none"/>
                          <a:tailEnd type="none"/>
                        </a:ln>
                      </xdr:spPr>
                      <xdr:txBody>
                        <a:bodyPr vertOverflow="clip" wrap="square" lIns="91440" tIns="45720" rIns="91440" bIns="45720"/>
                        <a:p>
                          <a:pPr algn="l">
                            <a:defRPr/>
                          </a:pPr>
                          <a:r>
                            <a:rPr lang="en-US" cap="none" u="none" baseline="0">
                              <a:latin typeface="Arial"/>
                              <a:ea typeface="Arial"/>
                              <a:cs typeface="Arial"/>
                            </a:rPr>
                            <a:t/>
                          </a:r>
                        </a:p>
                      </xdr:txBody>
                    </xdr:sp>
                    <xdr:sp>
                      <xdr:nvSpPr>
                        <xdr:cNvPr id="59" name="AutoShape 78"/>
                        <xdr:cNvSpPr>
                          <a:spLocks/>
                        </xdr:cNvSpPr>
                      </xdr:nvSpPr>
                      <xdr:spPr>
                        <a:xfrm>
                          <a:off x="175" y="19889"/>
                          <a:ext cx="19825" cy="196"/>
                        </a:xfrm>
                        <a:prstGeom prst="line">
                          <a:avLst/>
                        </a:prstGeom>
                        <a:solidFill>
                          <a:srgbClr val="FFFFFF"/>
                        </a:solidFill>
                        <a:ln w="9525" cmpd="sng">
                          <a:solidFill>
                            <a:srgbClr val="000000"/>
                          </a:solidFill>
                          <a:headEnd type="none"/>
                          <a:tailEnd type="none"/>
                        </a:ln>
                      </xdr:spPr>
                      <xdr:txBody>
                        <a:bodyPr vertOverflow="clip" wrap="square" lIns="91440" tIns="45720" rIns="91440" bIns="45720"/>
                        <a:p>
                          <a:pPr algn="l">
                            <a:defRPr/>
                          </a:pPr>
                          <a:r>
                            <a:rPr lang="en-US" cap="none" u="none" baseline="0">
                              <a:latin typeface="Arial"/>
                              <a:ea typeface="Arial"/>
                              <a:cs typeface="Arial"/>
                            </a:rPr>
                            <a:t/>
                          </a:r>
                        </a:p>
                      </xdr:txBody>
                    </xdr:sp>
                  </xdr:grpSp>
                </xdr:grpSp>
              </xdr:grpSp>
              <xdr:grpSp>
                <xdr:nvGrpSpPr>
                  <xdr:cNvPr id="60" name="Group 79"/>
                  <xdr:cNvGrpSpPr>
                    <a:grpSpLocks/>
                  </xdr:cNvGrpSpPr>
                </xdr:nvGrpSpPr>
                <xdr:grpSpPr>
                  <a:xfrm>
                    <a:off x="640" y="11462"/>
                    <a:ext cx="19360" cy="10039"/>
                    <a:chOff x="0" y="10"/>
                    <a:chExt cx="20000" cy="20076"/>
                  </a:xfrm>
                  <a:solidFill>
                    <a:srgbClr val="FFFFFF"/>
                  </a:solidFill>
                </xdr:grpSpPr>
                <xdr:grpSp>
                  <xdr:nvGrpSpPr>
                    <xdr:cNvPr id="61" name="Group 80"/>
                    <xdr:cNvGrpSpPr>
                      <a:grpSpLocks/>
                    </xdr:cNvGrpSpPr>
                  </xdr:nvGrpSpPr>
                  <xdr:grpSpPr>
                    <a:xfrm>
                      <a:off x="0" y="10"/>
                      <a:ext cx="19505" cy="8608"/>
                      <a:chOff x="0" y="23"/>
                      <a:chExt cx="20000" cy="20295"/>
                    </a:xfrm>
                    <a:solidFill>
                      <a:srgbClr val="FFFFFF"/>
                    </a:solidFill>
                  </xdr:grpSpPr>
                  <xdr:grpSp>
                    <xdr:nvGrpSpPr>
                      <xdr:cNvPr id="62" name="Group 81"/>
                      <xdr:cNvGrpSpPr>
                        <a:grpSpLocks/>
                      </xdr:cNvGrpSpPr>
                    </xdr:nvGrpSpPr>
                    <xdr:grpSpPr>
                      <a:xfrm>
                        <a:off x="0" y="23"/>
                        <a:ext cx="19660" cy="6799"/>
                        <a:chOff x="0" y="69"/>
                        <a:chExt cx="20000" cy="20188"/>
                      </a:xfrm>
                      <a:solidFill>
                        <a:srgbClr val="FFFFFF"/>
                      </a:solidFill>
                    </xdr:grpSpPr>
                    <xdr:sp>
                      <xdr:nvSpPr>
                        <xdr:cNvPr id="63" name="AutoShape 82"/>
                        <xdr:cNvSpPr>
                          <a:spLocks/>
                        </xdr:cNvSpPr>
                      </xdr:nvSpPr>
                      <xdr:spPr>
                        <a:xfrm>
                          <a:off x="0" y="69"/>
                          <a:ext cx="19830" cy="96"/>
                        </a:xfrm>
                        <a:prstGeom prst="line">
                          <a:avLst/>
                        </a:prstGeom>
                        <a:solidFill>
                          <a:srgbClr val="FFFFFF"/>
                        </a:solidFill>
                        <a:ln w="9525" cmpd="sng">
                          <a:solidFill>
                            <a:srgbClr val="000000"/>
                          </a:solidFill>
                          <a:headEnd type="none"/>
                          <a:tailEnd type="none"/>
                        </a:ln>
                      </xdr:spPr>
                      <xdr:txBody>
                        <a:bodyPr vertOverflow="clip" wrap="square" lIns="91440" tIns="45720" rIns="91440" bIns="45720"/>
                        <a:p>
                          <a:pPr algn="l">
                            <a:defRPr/>
                          </a:pPr>
                          <a:r>
                            <a:rPr lang="en-US" cap="none" u="none" baseline="0">
                              <a:latin typeface="Arial"/>
                              <a:ea typeface="Arial"/>
                              <a:cs typeface="Arial"/>
                            </a:rPr>
                            <a:t/>
                          </a:r>
                        </a:p>
                      </xdr:txBody>
                    </xdr:sp>
                    <xdr:sp>
                      <xdr:nvSpPr>
                        <xdr:cNvPr id="64" name="AutoShape 83"/>
                        <xdr:cNvSpPr>
                          <a:spLocks/>
                        </xdr:cNvSpPr>
                      </xdr:nvSpPr>
                      <xdr:spPr>
                        <a:xfrm>
                          <a:off x="170" y="20060"/>
                          <a:ext cx="19830" cy="197"/>
                        </a:xfrm>
                        <a:prstGeom prst="line">
                          <a:avLst/>
                        </a:prstGeom>
                        <a:solidFill>
                          <a:srgbClr val="FFFFFF"/>
                        </a:solidFill>
                        <a:ln w="9525" cmpd="sng">
                          <a:solidFill>
                            <a:srgbClr val="000000"/>
                          </a:solidFill>
                          <a:headEnd type="none"/>
                          <a:tailEnd type="none"/>
                        </a:ln>
                      </xdr:spPr>
                      <xdr:txBody>
                        <a:bodyPr vertOverflow="clip" wrap="square" lIns="91440" tIns="45720" rIns="91440" bIns="45720"/>
                        <a:p>
                          <a:pPr algn="l">
                            <a:defRPr/>
                          </a:pPr>
                          <a:r>
                            <a:rPr lang="en-US" cap="none" u="none" baseline="0">
                              <a:latin typeface="Arial"/>
                              <a:ea typeface="Arial"/>
                              <a:cs typeface="Arial"/>
                            </a:rPr>
                            <a:t/>
                          </a:r>
                        </a:p>
                      </xdr:txBody>
                    </xdr:sp>
                  </xdr:grpSp>
                  <xdr:grpSp>
                    <xdr:nvGrpSpPr>
                      <xdr:cNvPr id="65" name="Group 84"/>
                      <xdr:cNvGrpSpPr>
                        <a:grpSpLocks/>
                      </xdr:cNvGrpSpPr>
                    </xdr:nvGrpSpPr>
                    <xdr:grpSpPr>
                      <a:xfrm>
                        <a:off x="340" y="13519"/>
                        <a:ext cx="19660" cy="6799"/>
                        <a:chOff x="0" y="0"/>
                        <a:chExt cx="20000" cy="19982"/>
                      </a:xfrm>
                      <a:solidFill>
                        <a:srgbClr val="FFFFFF"/>
                      </a:solidFill>
                    </xdr:grpSpPr>
                    <xdr:sp>
                      <xdr:nvSpPr>
                        <xdr:cNvPr id="66" name="AutoShape 85"/>
                        <xdr:cNvSpPr>
                          <a:spLocks/>
                        </xdr:cNvSpPr>
                      </xdr:nvSpPr>
                      <xdr:spPr>
                        <a:xfrm>
                          <a:off x="0" y="0"/>
                          <a:ext cx="19830" cy="195"/>
                        </a:xfrm>
                        <a:prstGeom prst="line">
                          <a:avLst/>
                        </a:prstGeom>
                        <a:solidFill>
                          <a:srgbClr val="FFFFFF"/>
                        </a:solidFill>
                        <a:ln w="9525" cmpd="sng">
                          <a:solidFill>
                            <a:srgbClr val="000000"/>
                          </a:solidFill>
                          <a:headEnd type="none"/>
                          <a:tailEnd type="none"/>
                        </a:ln>
                      </xdr:spPr>
                      <xdr:txBody>
                        <a:bodyPr vertOverflow="clip" wrap="square" lIns="91440" tIns="45720" rIns="91440" bIns="45720"/>
                        <a:p>
                          <a:pPr algn="l">
                            <a:defRPr/>
                          </a:pPr>
                          <a:r>
                            <a:rPr lang="en-US" cap="none" u="none" baseline="0">
                              <a:latin typeface="Arial"/>
                              <a:ea typeface="Arial"/>
                              <a:cs typeface="Arial"/>
                            </a:rPr>
                            <a:t/>
                          </a:r>
                        </a:p>
                      </xdr:txBody>
                    </xdr:sp>
                    <xdr:sp>
                      <xdr:nvSpPr>
                        <xdr:cNvPr id="67" name="AutoShape 86"/>
                        <xdr:cNvSpPr>
                          <a:spLocks/>
                        </xdr:cNvSpPr>
                      </xdr:nvSpPr>
                      <xdr:spPr>
                        <a:xfrm>
                          <a:off x="175" y="19887"/>
                          <a:ext cx="19825" cy="95"/>
                        </a:xfrm>
                        <a:prstGeom prst="line">
                          <a:avLst/>
                        </a:prstGeom>
                        <a:solidFill>
                          <a:srgbClr val="FFFFFF"/>
                        </a:solidFill>
                        <a:ln w="9525" cmpd="sng">
                          <a:solidFill>
                            <a:srgbClr val="000000"/>
                          </a:solidFill>
                          <a:headEnd type="none"/>
                          <a:tailEnd type="none"/>
                        </a:ln>
                      </xdr:spPr>
                      <xdr:txBody>
                        <a:bodyPr vertOverflow="clip" wrap="square" lIns="91440" tIns="45720" rIns="91440" bIns="45720"/>
                        <a:p>
                          <a:pPr algn="l">
                            <a:defRPr/>
                          </a:pPr>
                          <a:r>
                            <a:rPr lang="en-US" cap="none" u="none" baseline="0">
                              <a:latin typeface="Arial"/>
                              <a:ea typeface="Arial"/>
                              <a:cs typeface="Arial"/>
                            </a:rPr>
                            <a:t/>
                          </a:r>
                        </a:p>
                      </xdr:txBody>
                    </xdr:sp>
                  </xdr:grpSp>
                </xdr:grpSp>
                <xdr:grpSp>
                  <xdr:nvGrpSpPr>
                    <xdr:cNvPr id="68" name="Group 87"/>
                    <xdr:cNvGrpSpPr>
                      <a:grpSpLocks/>
                    </xdr:cNvGrpSpPr>
                  </xdr:nvGrpSpPr>
                  <xdr:grpSpPr>
                    <a:xfrm>
                      <a:off x="495" y="11473"/>
                      <a:ext cx="19505" cy="8613"/>
                      <a:chOff x="0" y="23"/>
                      <a:chExt cx="20000" cy="19996"/>
                    </a:xfrm>
                    <a:solidFill>
                      <a:srgbClr val="FFFFFF"/>
                    </a:solidFill>
                  </xdr:grpSpPr>
                  <xdr:grpSp>
                    <xdr:nvGrpSpPr>
                      <xdr:cNvPr id="69" name="Group 88"/>
                      <xdr:cNvGrpSpPr>
                        <a:grpSpLocks/>
                      </xdr:cNvGrpSpPr>
                    </xdr:nvGrpSpPr>
                    <xdr:grpSpPr>
                      <a:xfrm>
                        <a:off x="0" y="23"/>
                        <a:ext cx="19660" cy="6694"/>
                        <a:chOff x="0" y="69"/>
                        <a:chExt cx="20000" cy="19879"/>
                      </a:xfrm>
                      <a:solidFill>
                        <a:srgbClr val="FFFFFF"/>
                      </a:solidFill>
                    </xdr:grpSpPr>
                    <xdr:sp>
                      <xdr:nvSpPr>
                        <xdr:cNvPr id="70" name="AutoShape 89"/>
                        <xdr:cNvSpPr>
                          <a:spLocks/>
                        </xdr:cNvSpPr>
                      </xdr:nvSpPr>
                      <xdr:spPr>
                        <a:xfrm>
                          <a:off x="0" y="69"/>
                          <a:ext cx="19830" cy="194"/>
                        </a:xfrm>
                        <a:prstGeom prst="line">
                          <a:avLst/>
                        </a:prstGeom>
                        <a:solidFill>
                          <a:srgbClr val="FFFFFF"/>
                        </a:solidFill>
                        <a:ln w="9525" cmpd="sng">
                          <a:solidFill>
                            <a:srgbClr val="000000"/>
                          </a:solidFill>
                          <a:headEnd type="none"/>
                          <a:tailEnd type="none"/>
                        </a:ln>
                      </xdr:spPr>
                      <xdr:txBody>
                        <a:bodyPr vertOverflow="clip" wrap="square" lIns="91440" tIns="45720" rIns="91440" bIns="45720"/>
                        <a:p>
                          <a:pPr algn="l">
                            <a:defRPr/>
                          </a:pPr>
                          <a:r>
                            <a:rPr lang="en-US" cap="none" u="none" baseline="0">
                              <a:latin typeface="Arial"/>
                              <a:ea typeface="Arial"/>
                              <a:cs typeface="Arial"/>
                            </a:rPr>
                            <a:t/>
                          </a:r>
                        </a:p>
                      </xdr:txBody>
                    </xdr:sp>
                    <xdr:sp>
                      <xdr:nvSpPr>
                        <xdr:cNvPr id="71" name="AutoShape 90"/>
                        <xdr:cNvSpPr>
                          <a:spLocks/>
                        </xdr:cNvSpPr>
                      </xdr:nvSpPr>
                      <xdr:spPr>
                        <a:xfrm>
                          <a:off x="170" y="19854"/>
                          <a:ext cx="19830" cy="94"/>
                        </a:xfrm>
                        <a:prstGeom prst="line">
                          <a:avLst/>
                        </a:prstGeom>
                        <a:solidFill>
                          <a:srgbClr val="FFFFFF"/>
                        </a:solidFill>
                        <a:ln w="9525" cmpd="sng">
                          <a:solidFill>
                            <a:srgbClr val="000000"/>
                          </a:solidFill>
                          <a:headEnd type="none"/>
                          <a:tailEnd type="none"/>
                        </a:ln>
                      </xdr:spPr>
                      <xdr:txBody>
                        <a:bodyPr vertOverflow="clip" wrap="square" lIns="91440" tIns="45720" rIns="91440" bIns="45720"/>
                        <a:p>
                          <a:pPr algn="l">
                            <a:defRPr/>
                          </a:pPr>
                          <a:r>
                            <a:rPr lang="en-US" cap="none" u="none" baseline="0">
                              <a:latin typeface="Arial"/>
                              <a:ea typeface="Arial"/>
                              <a:cs typeface="Arial"/>
                            </a:rPr>
                            <a:t/>
                          </a:r>
                        </a:p>
                      </xdr:txBody>
                    </xdr:sp>
                  </xdr:grpSp>
                  <xdr:grpSp>
                    <xdr:nvGrpSpPr>
                      <xdr:cNvPr id="72" name="Group 91"/>
                      <xdr:cNvGrpSpPr>
                        <a:grpSpLocks/>
                      </xdr:cNvGrpSpPr>
                    </xdr:nvGrpSpPr>
                    <xdr:grpSpPr>
                      <a:xfrm>
                        <a:off x="340" y="13290"/>
                        <a:ext cx="19660" cy="6729"/>
                        <a:chOff x="0" y="-72"/>
                        <a:chExt cx="20000" cy="20078"/>
                      </a:xfrm>
                      <a:solidFill>
                        <a:srgbClr val="FFFFFF"/>
                      </a:solidFill>
                    </xdr:grpSpPr>
                    <xdr:sp>
                      <xdr:nvSpPr>
                        <xdr:cNvPr id="73" name="AutoShape 92"/>
                        <xdr:cNvSpPr>
                          <a:spLocks/>
                        </xdr:cNvSpPr>
                      </xdr:nvSpPr>
                      <xdr:spPr>
                        <a:xfrm>
                          <a:off x="0" y="-72"/>
                          <a:ext cx="19830" cy="196"/>
                        </a:xfrm>
                        <a:prstGeom prst="line">
                          <a:avLst/>
                        </a:prstGeom>
                        <a:solidFill>
                          <a:srgbClr val="FFFFFF"/>
                        </a:solidFill>
                        <a:ln w="9525" cmpd="sng">
                          <a:solidFill>
                            <a:srgbClr val="000000"/>
                          </a:solidFill>
                          <a:headEnd type="none"/>
                          <a:tailEnd type="none"/>
                        </a:ln>
                      </xdr:spPr>
                      <xdr:txBody>
                        <a:bodyPr vertOverflow="clip" wrap="square" lIns="91440" tIns="45720" rIns="91440" bIns="45720"/>
                        <a:p>
                          <a:pPr algn="l">
                            <a:defRPr/>
                          </a:pPr>
                          <a:r>
                            <a:rPr lang="en-US" cap="none" u="none" baseline="0">
                              <a:latin typeface="Arial"/>
                              <a:ea typeface="Arial"/>
                              <a:cs typeface="Arial"/>
                            </a:rPr>
                            <a:t/>
                          </a:r>
                        </a:p>
                      </xdr:txBody>
                    </xdr:sp>
                    <xdr:sp>
                      <xdr:nvSpPr>
                        <xdr:cNvPr id="74" name="AutoShape 93"/>
                        <xdr:cNvSpPr>
                          <a:spLocks/>
                        </xdr:cNvSpPr>
                      </xdr:nvSpPr>
                      <xdr:spPr>
                        <a:xfrm>
                          <a:off x="175" y="19810"/>
                          <a:ext cx="19825" cy="196"/>
                        </a:xfrm>
                        <a:prstGeom prst="line">
                          <a:avLst/>
                        </a:prstGeom>
                        <a:solidFill>
                          <a:srgbClr val="FFFFFF"/>
                        </a:solidFill>
                        <a:ln w="9525" cmpd="sng">
                          <a:solidFill>
                            <a:srgbClr val="000000"/>
                          </a:solidFill>
                          <a:headEnd type="none"/>
                          <a:tailEnd type="none"/>
                        </a:ln>
                      </xdr:spPr>
                      <xdr:txBody>
                        <a:bodyPr vertOverflow="clip" wrap="square" lIns="91440" tIns="45720" rIns="91440" bIns="45720"/>
                        <a:p>
                          <a:pPr algn="l">
                            <a:defRPr/>
                          </a:pPr>
                          <a:r>
                            <a:rPr lang="en-US" cap="none" u="none" baseline="0">
                              <a:latin typeface="Arial"/>
                              <a:ea typeface="Arial"/>
                              <a:cs typeface="Arial"/>
                            </a:rPr>
                            <a:t/>
                          </a:r>
                        </a:p>
                      </xdr:txBody>
                    </xdr:sp>
                  </xdr:grpSp>
                </xdr:grpSp>
              </xdr:grpSp>
            </xdr:grpSp>
          </xdr:grpSp>
          <xdr:grpSp>
            <xdr:nvGrpSpPr>
              <xdr:cNvPr id="75" name="Group 94"/>
              <xdr:cNvGrpSpPr>
                <a:grpSpLocks/>
              </xdr:cNvGrpSpPr>
            </xdr:nvGrpSpPr>
            <xdr:grpSpPr>
              <a:xfrm>
                <a:off x="925" y="16362"/>
                <a:ext cx="18615" cy="3580"/>
                <a:chOff x="0" y="6"/>
                <a:chExt cx="20000" cy="19100"/>
              </a:xfrm>
              <a:solidFill>
                <a:srgbClr val="FFFFFF"/>
              </a:solidFill>
            </xdr:grpSpPr>
            <xdr:grpSp>
              <xdr:nvGrpSpPr>
                <xdr:cNvPr id="76" name="Group 95"/>
                <xdr:cNvGrpSpPr>
                  <a:grpSpLocks/>
                </xdr:cNvGrpSpPr>
              </xdr:nvGrpSpPr>
              <xdr:grpSpPr>
                <a:xfrm>
                  <a:off x="0" y="6"/>
                  <a:ext cx="19505" cy="8199"/>
                  <a:chOff x="0" y="14"/>
                  <a:chExt cx="20000" cy="18957"/>
                </a:xfrm>
                <a:solidFill>
                  <a:srgbClr val="FFFFFF"/>
                </a:solidFill>
              </xdr:grpSpPr>
              <xdr:grpSp>
                <xdr:nvGrpSpPr>
                  <xdr:cNvPr id="77" name="Group 96"/>
                  <xdr:cNvGrpSpPr>
                    <a:grpSpLocks/>
                  </xdr:cNvGrpSpPr>
                </xdr:nvGrpSpPr>
                <xdr:grpSpPr>
                  <a:xfrm>
                    <a:off x="0" y="14"/>
                    <a:ext cx="19660" cy="6351"/>
                    <a:chOff x="0" y="42"/>
                    <a:chExt cx="20000" cy="18884"/>
                  </a:xfrm>
                  <a:solidFill>
                    <a:srgbClr val="FFFFFF"/>
                  </a:solidFill>
                </xdr:grpSpPr>
                <xdr:sp>
                  <xdr:nvSpPr>
                    <xdr:cNvPr id="78" name="AutoShape 97"/>
                    <xdr:cNvSpPr>
                      <a:spLocks/>
                    </xdr:cNvSpPr>
                  </xdr:nvSpPr>
                  <xdr:spPr>
                    <a:xfrm>
                      <a:off x="0" y="42"/>
                      <a:ext cx="19830" cy="109"/>
                    </a:xfrm>
                    <a:prstGeom prst="line">
                      <a:avLst/>
                    </a:prstGeom>
                    <a:solidFill>
                      <a:srgbClr val="FFFFFF"/>
                    </a:solidFill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 lIns="91440" tIns="45720" rIns="91440" bIns="45720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"/>
                          <a:ea typeface="Arial"/>
                          <a:cs typeface="Arial"/>
                        </a:rPr>
                        <a:t/>
                      </a:r>
                    </a:p>
                  </xdr:txBody>
                </xdr:sp>
                <xdr:sp>
                  <xdr:nvSpPr>
                    <xdr:cNvPr id="79" name="AutoShape 98"/>
                    <xdr:cNvSpPr>
                      <a:spLocks/>
                    </xdr:cNvSpPr>
                  </xdr:nvSpPr>
                  <xdr:spPr>
                    <a:xfrm>
                      <a:off x="170" y="18742"/>
                      <a:ext cx="19830" cy="184"/>
                    </a:xfrm>
                    <a:prstGeom prst="line">
                      <a:avLst/>
                    </a:prstGeom>
                    <a:solidFill>
                      <a:srgbClr val="FFFFFF"/>
                    </a:solidFill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 lIns="91440" tIns="45720" rIns="91440" bIns="45720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"/>
                          <a:ea typeface="Arial"/>
                          <a:cs typeface="Arial"/>
                        </a:rPr>
                        <a:t/>
                      </a:r>
                    </a:p>
                  </xdr:txBody>
                </xdr:sp>
              </xdr:grpSp>
              <xdr:grpSp>
                <xdr:nvGrpSpPr>
                  <xdr:cNvPr id="80" name="Group 99"/>
                  <xdr:cNvGrpSpPr>
                    <a:grpSpLocks/>
                  </xdr:cNvGrpSpPr>
                </xdr:nvGrpSpPr>
                <xdr:grpSpPr>
                  <a:xfrm>
                    <a:off x="340" y="12620"/>
                    <a:ext cx="19660" cy="6351"/>
                    <a:chOff x="0" y="0"/>
                    <a:chExt cx="20000" cy="19914"/>
                  </a:xfrm>
                  <a:solidFill>
                    <a:srgbClr val="FFFFFF"/>
                  </a:solidFill>
                </xdr:grpSpPr>
                <xdr:sp>
                  <xdr:nvSpPr>
                    <xdr:cNvPr id="81" name="AutoShape 100"/>
                    <xdr:cNvSpPr>
                      <a:spLocks/>
                    </xdr:cNvSpPr>
                  </xdr:nvSpPr>
                  <xdr:spPr>
                    <a:xfrm>
                      <a:off x="0" y="0"/>
                      <a:ext cx="19830" cy="115"/>
                    </a:xfrm>
                    <a:prstGeom prst="line">
                      <a:avLst/>
                    </a:prstGeom>
                    <a:solidFill>
                      <a:srgbClr val="FFFFFF"/>
                    </a:solidFill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 lIns="91440" tIns="45720" rIns="91440" bIns="45720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"/>
                          <a:ea typeface="Arial"/>
                          <a:cs typeface="Arial"/>
                        </a:rPr>
                        <a:t/>
                      </a:r>
                    </a:p>
                  </xdr:txBody>
                </xdr:sp>
                <xdr:sp>
                  <xdr:nvSpPr>
                    <xdr:cNvPr id="82" name="AutoShape 101"/>
                    <xdr:cNvSpPr>
                      <a:spLocks/>
                    </xdr:cNvSpPr>
                  </xdr:nvSpPr>
                  <xdr:spPr>
                    <a:xfrm>
                      <a:off x="175" y="19720"/>
                      <a:ext cx="19825" cy="194"/>
                    </a:xfrm>
                    <a:prstGeom prst="line">
                      <a:avLst/>
                    </a:prstGeom>
                    <a:solidFill>
                      <a:srgbClr val="FFFFFF"/>
                    </a:solidFill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 lIns="91440" tIns="45720" rIns="91440" bIns="45720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"/>
                          <a:ea typeface="Arial"/>
                          <a:cs typeface="Arial"/>
                        </a:rPr>
                        <a:t/>
                      </a:r>
                    </a:p>
                  </xdr:txBody>
                </xdr:sp>
              </xdr:grpSp>
            </xdr:grpSp>
            <xdr:grpSp>
              <xdr:nvGrpSpPr>
                <xdr:cNvPr id="83" name="Group 102"/>
                <xdr:cNvGrpSpPr>
                  <a:grpSpLocks/>
                </xdr:cNvGrpSpPr>
              </xdr:nvGrpSpPr>
              <xdr:grpSpPr>
                <a:xfrm>
                  <a:off x="495" y="10907"/>
                  <a:ext cx="19505" cy="8199"/>
                  <a:chOff x="0" y="0"/>
                  <a:chExt cx="20000" cy="20040"/>
                </a:xfrm>
                <a:solidFill>
                  <a:srgbClr val="FFFFFF"/>
                </a:solidFill>
              </xdr:grpSpPr>
              <xdr:grpSp>
                <xdr:nvGrpSpPr>
                  <xdr:cNvPr id="84" name="Group 103"/>
                  <xdr:cNvGrpSpPr>
                    <a:grpSpLocks/>
                  </xdr:cNvGrpSpPr>
                </xdr:nvGrpSpPr>
                <xdr:grpSpPr>
                  <a:xfrm>
                    <a:off x="0" y="0"/>
                    <a:ext cx="19660" cy="6713"/>
                    <a:chOff x="0" y="36"/>
                    <a:chExt cx="20000" cy="19942"/>
                  </a:xfrm>
                  <a:solidFill>
                    <a:srgbClr val="FFFFFF"/>
                  </a:solidFill>
                </xdr:grpSpPr>
                <xdr:sp>
                  <xdr:nvSpPr>
                    <xdr:cNvPr id="85" name="AutoShape 104"/>
                    <xdr:cNvSpPr>
                      <a:spLocks/>
                    </xdr:cNvSpPr>
                  </xdr:nvSpPr>
                  <xdr:spPr>
                    <a:xfrm>
                      <a:off x="0" y="36"/>
                      <a:ext cx="19830" cy="194"/>
                    </a:xfrm>
                    <a:prstGeom prst="line">
                      <a:avLst/>
                    </a:prstGeom>
                    <a:solidFill>
                      <a:srgbClr val="FFFFFF"/>
                    </a:solidFill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 lIns="91440" tIns="45720" rIns="91440" bIns="45720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"/>
                          <a:ea typeface="Arial"/>
                          <a:cs typeface="Arial"/>
                        </a:rPr>
                        <a:t/>
                      </a:r>
                    </a:p>
                  </xdr:txBody>
                </xdr:sp>
                <xdr:sp>
                  <xdr:nvSpPr>
                    <xdr:cNvPr id="86" name="AutoShape 105"/>
                    <xdr:cNvSpPr>
                      <a:spLocks/>
                    </xdr:cNvSpPr>
                  </xdr:nvSpPr>
                  <xdr:spPr>
                    <a:xfrm>
                      <a:off x="170" y="19863"/>
                      <a:ext cx="19830" cy="115"/>
                    </a:xfrm>
                    <a:prstGeom prst="line">
                      <a:avLst/>
                    </a:prstGeom>
                    <a:solidFill>
                      <a:srgbClr val="FFFFFF"/>
                    </a:solidFill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 lIns="91440" tIns="45720" rIns="91440" bIns="45720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"/>
                          <a:ea typeface="Arial"/>
                          <a:cs typeface="Arial"/>
                        </a:rPr>
                        <a:t/>
                      </a:r>
                    </a:p>
                  </xdr:txBody>
                </xdr:sp>
              </xdr:grpSp>
              <xdr:grpSp>
                <xdr:nvGrpSpPr>
                  <xdr:cNvPr id="87" name="Group 106"/>
                  <xdr:cNvGrpSpPr>
                    <a:grpSpLocks/>
                  </xdr:cNvGrpSpPr>
                </xdr:nvGrpSpPr>
                <xdr:grpSpPr>
                  <a:xfrm>
                    <a:off x="340" y="13327"/>
                    <a:ext cx="19660" cy="6713"/>
                    <a:chOff x="0" y="0"/>
                    <a:chExt cx="20000" cy="20043"/>
                  </a:xfrm>
                  <a:solidFill>
                    <a:srgbClr val="FFFFFF"/>
                  </a:solidFill>
                </xdr:grpSpPr>
                <xdr:sp>
                  <xdr:nvSpPr>
                    <xdr:cNvPr id="88" name="AutoShape 107"/>
                    <xdr:cNvSpPr>
                      <a:spLocks/>
                    </xdr:cNvSpPr>
                  </xdr:nvSpPr>
                  <xdr:spPr>
                    <a:xfrm>
                      <a:off x="0" y="0"/>
                      <a:ext cx="19830" cy="195"/>
                    </a:xfrm>
                    <a:prstGeom prst="line">
                      <a:avLst/>
                    </a:prstGeom>
                    <a:solidFill>
                      <a:srgbClr val="FFFFFF"/>
                    </a:solidFill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 lIns="91440" tIns="45720" rIns="91440" bIns="45720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"/>
                          <a:ea typeface="Arial"/>
                          <a:cs typeface="Arial"/>
                        </a:rPr>
                        <a:t/>
                      </a:r>
                    </a:p>
                  </xdr:txBody>
                </xdr:sp>
                <xdr:sp>
                  <xdr:nvSpPr>
                    <xdr:cNvPr id="89" name="AutoShape 108"/>
                    <xdr:cNvSpPr>
                      <a:spLocks/>
                    </xdr:cNvSpPr>
                  </xdr:nvSpPr>
                  <xdr:spPr>
                    <a:xfrm>
                      <a:off x="175" y="19928"/>
                      <a:ext cx="19825" cy="115"/>
                    </a:xfrm>
                    <a:prstGeom prst="line">
                      <a:avLst/>
                    </a:prstGeom>
                    <a:solidFill>
                      <a:srgbClr val="FFFFFF"/>
                    </a:solidFill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 lIns="91440" tIns="45720" rIns="91440" bIns="45720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"/>
                          <a:ea typeface="Arial"/>
                          <a:cs typeface="Arial"/>
                        </a:rPr>
                        <a:t/>
                      </a:r>
                    </a:p>
                  </xdr:txBody>
                </xdr:sp>
              </xdr:grpSp>
            </xdr:grpSp>
          </xdr:grpSp>
        </xdr:grpSp>
        <xdr:sp>
          <xdr:nvSpPr>
            <xdr:cNvPr id="90" name="AutoShape 109"/>
            <xdr:cNvSpPr>
              <a:spLocks/>
            </xdr:cNvSpPr>
          </xdr:nvSpPr>
          <xdr:spPr>
            <a:xfrm>
              <a:off x="3325" y="18385"/>
              <a:ext cx="4581" cy="295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1" name="AutoShape 110"/>
            <xdr:cNvSpPr>
              <a:spLocks/>
            </xdr:cNvSpPr>
          </xdr:nvSpPr>
          <xdr:spPr>
            <a:xfrm flipH="1">
              <a:off x="11094" y="18385"/>
              <a:ext cx="4874" cy="295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2" name="AutoShape 111"/>
            <xdr:cNvSpPr>
              <a:spLocks/>
            </xdr:cNvSpPr>
          </xdr:nvSpPr>
          <xdr:spPr>
            <a:xfrm>
              <a:off x="7443" y="18650"/>
              <a:ext cx="930" cy="135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3" name="AutoShape 112"/>
            <xdr:cNvSpPr>
              <a:spLocks/>
            </xdr:cNvSpPr>
          </xdr:nvSpPr>
          <xdr:spPr>
            <a:xfrm flipH="1">
              <a:off x="10457" y="18650"/>
              <a:ext cx="930" cy="135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4" name="AutoShape 113"/>
            <xdr:cNvSpPr>
              <a:spLocks/>
            </xdr:cNvSpPr>
          </xdr:nvSpPr>
          <xdr:spPr>
            <a:xfrm>
              <a:off x="4370" y="19160"/>
              <a:ext cx="11369" cy="195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5" name="AutoShape 114"/>
            <xdr:cNvSpPr>
              <a:spLocks/>
            </xdr:cNvSpPr>
          </xdr:nvSpPr>
          <xdr:spPr>
            <a:xfrm>
              <a:off x="15680" y="18840"/>
              <a:ext cx="3536" cy="840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6" name="AutoShape 115"/>
            <xdr:cNvSpPr>
              <a:spLocks/>
            </xdr:cNvSpPr>
          </xdr:nvSpPr>
          <xdr:spPr>
            <a:xfrm>
              <a:off x="4196" y="1125"/>
              <a:ext cx="11658" cy="300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7" name="AutoShape 116"/>
            <xdr:cNvSpPr>
              <a:spLocks/>
            </xdr:cNvSpPr>
          </xdr:nvSpPr>
          <xdr:spPr>
            <a:xfrm>
              <a:off x="3788" y="755"/>
              <a:ext cx="11772" cy="510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03" name="Group 168"/>
          <xdr:cNvGrpSpPr>
            <a:grpSpLocks/>
          </xdr:cNvGrpSpPr>
        </xdr:nvGrpSpPr>
        <xdr:grpSpPr>
          <a:xfrm>
            <a:off x="395" y="440"/>
            <a:ext cx="63" cy="69"/>
            <a:chOff x="390" y="440"/>
            <a:chExt cx="64" cy="70"/>
          </a:xfrm>
          <a:solidFill>
            <a:srgbClr val="FFFFFF"/>
          </a:solidFill>
        </xdr:grpSpPr>
        <xdr:graphicFrame>
          <xdr:nvGraphicFramePr>
            <xdr:cNvPr id="104" name="Chart 165"/>
            <xdr:cNvGraphicFramePr/>
          </xdr:nvGraphicFramePr>
          <xdr:xfrm>
            <a:off x="394" y="443"/>
            <a:ext cx="60" cy="56"/>
          </xdr:xfrm>
          <a:graphic>
            <a:graphicData uri="http://schemas.openxmlformats.org/drawingml/2006/chart">
              <c:chart xmlns:c="http://schemas.openxmlformats.org/drawingml/2006/chart" r:id="rId2"/>
            </a:graphicData>
          </a:graphic>
        </xdr:graphicFrame>
        <xdr:sp>
          <xdr:nvSpPr>
            <xdr:cNvPr id="105" name="Line 123"/>
            <xdr:cNvSpPr>
              <a:spLocks/>
            </xdr:cNvSpPr>
          </xdr:nvSpPr>
          <xdr:spPr>
            <a:xfrm>
              <a:off x="405" y="494"/>
              <a:ext cx="37" cy="1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6" name="Line 124"/>
            <xdr:cNvSpPr>
              <a:spLocks/>
            </xdr:cNvSpPr>
          </xdr:nvSpPr>
          <xdr:spPr>
            <a:xfrm>
              <a:off x="447" y="445"/>
              <a:ext cx="0" cy="42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7" name="Arc 126"/>
            <xdr:cNvSpPr>
              <a:spLocks/>
            </xdr:cNvSpPr>
          </xdr:nvSpPr>
          <xdr:spPr>
            <a:xfrm rot="10800000" flipH="1">
              <a:off x="440" y="486"/>
              <a:ext cx="7" cy="8"/>
            </a:xfrm>
            <a:prstGeom prst="arc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8" name="Line 127"/>
            <xdr:cNvSpPr>
              <a:spLocks/>
            </xdr:cNvSpPr>
          </xdr:nvSpPr>
          <xdr:spPr>
            <a:xfrm>
              <a:off x="405" y="494"/>
              <a:ext cx="37" cy="1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9" name="Line 128"/>
            <xdr:cNvSpPr>
              <a:spLocks/>
            </xdr:cNvSpPr>
          </xdr:nvSpPr>
          <xdr:spPr>
            <a:xfrm>
              <a:off x="399" y="447"/>
              <a:ext cx="0" cy="43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0" name="Arc 129"/>
            <xdr:cNvSpPr>
              <a:spLocks/>
            </xdr:cNvSpPr>
          </xdr:nvSpPr>
          <xdr:spPr>
            <a:xfrm rot="16200000" flipH="1">
              <a:off x="398" y="487"/>
              <a:ext cx="8" cy="7"/>
            </a:xfrm>
            <a:prstGeom prst="arc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1" name="Arc 130"/>
            <xdr:cNvSpPr>
              <a:spLocks/>
            </xdr:cNvSpPr>
          </xdr:nvSpPr>
          <xdr:spPr>
            <a:xfrm flipH="1">
              <a:off x="446" y="440"/>
              <a:ext cx="8" cy="7"/>
            </a:xfrm>
            <a:prstGeom prst="arc">
              <a:avLst>
                <a:gd name="adj1" fmla="val -25671888"/>
                <a:gd name="adj2" fmla="val 49532"/>
              </a:avLst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2" name="AutoShape 131"/>
            <xdr:cNvSpPr>
              <a:spLocks/>
            </xdr:cNvSpPr>
          </xdr:nvSpPr>
          <xdr:spPr>
            <a:xfrm>
              <a:off x="390" y="494"/>
              <a:ext cx="63" cy="16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3" name="Rectangle 152"/>
            <xdr:cNvSpPr>
              <a:spLocks/>
            </xdr:cNvSpPr>
          </xdr:nvSpPr>
          <xdr:spPr>
            <a:xfrm flipV="1">
              <a:off x="417" y="491"/>
              <a:ext cx="9" cy="2"/>
            </a:xfrm>
            <a:prstGeom prst="round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14" name="Line 159"/>
          <xdr:cNvSpPr>
            <a:spLocks/>
          </xdr:cNvSpPr>
        </xdr:nvSpPr>
        <xdr:spPr>
          <a:xfrm>
            <a:off x="426" y="188"/>
            <a:ext cx="0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" name="TextBox 174"/>
          <xdr:cNvSpPr txBox="1">
            <a:spLocks noChangeArrowheads="1"/>
          </xdr:cNvSpPr>
        </xdr:nvSpPr>
        <xdr:spPr>
          <a:xfrm>
            <a:off x="445" y="393"/>
            <a:ext cx="21" cy="1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19050</xdr:colOff>
      <xdr:row>29</xdr:row>
      <xdr:rowOff>133350</xdr:rowOff>
    </xdr:from>
    <xdr:to>
      <xdr:col>9</xdr:col>
      <xdr:colOff>85725</xdr:colOff>
      <xdr:row>31</xdr:row>
      <xdr:rowOff>9525</xdr:rowOff>
    </xdr:to>
    <xdr:grpSp>
      <xdr:nvGrpSpPr>
        <xdr:cNvPr id="117" name="Group 205"/>
        <xdr:cNvGrpSpPr>
          <a:grpSpLocks/>
        </xdr:cNvGrpSpPr>
      </xdr:nvGrpSpPr>
      <xdr:grpSpPr>
        <a:xfrm>
          <a:off x="19050" y="4638675"/>
          <a:ext cx="2447925" cy="247650"/>
          <a:chOff x="2" y="484"/>
          <a:chExt cx="257" cy="26"/>
        </a:xfrm>
        <a:solidFill>
          <a:srgbClr val="FFFFFF"/>
        </a:solidFill>
      </xdr:grpSpPr>
    </xdr:grpSp>
    <xdr:clientData/>
  </xdr:twoCellAnchor>
  <xdr:twoCellAnchor>
    <xdr:from>
      <xdr:col>0</xdr:col>
      <xdr:colOff>28575</xdr:colOff>
      <xdr:row>11</xdr:row>
      <xdr:rowOff>19050</xdr:rowOff>
    </xdr:from>
    <xdr:to>
      <xdr:col>9</xdr:col>
      <xdr:colOff>57150</xdr:colOff>
      <xdr:row>29</xdr:row>
      <xdr:rowOff>47625</xdr:rowOff>
    </xdr:to>
    <xdr:grpSp>
      <xdr:nvGrpSpPr>
        <xdr:cNvPr id="121" name="Group 201"/>
        <xdr:cNvGrpSpPr>
          <a:grpSpLocks/>
        </xdr:cNvGrpSpPr>
      </xdr:nvGrpSpPr>
      <xdr:grpSpPr>
        <a:xfrm>
          <a:off x="28575" y="1476375"/>
          <a:ext cx="2409825" cy="3076575"/>
          <a:chOff x="3" y="155"/>
          <a:chExt cx="253" cy="326"/>
        </a:xfrm>
        <a:solidFill>
          <a:srgbClr val="FFFFFF"/>
        </a:solidFill>
      </xdr:grpSpPr>
      <xdr:graphicFrame>
        <xdr:nvGraphicFramePr>
          <xdr:cNvPr id="122" name="Chart 10"/>
          <xdr:cNvGraphicFramePr/>
        </xdr:nvGraphicFramePr>
        <xdr:xfrm>
          <a:off x="3" y="155"/>
          <a:ext cx="253" cy="326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sp>
        <xdr:nvSpPr>
          <xdr:cNvPr id="123" name="TextBox 190"/>
          <xdr:cNvSpPr txBox="1">
            <a:spLocks noChangeArrowheads="1"/>
          </xdr:cNvSpPr>
        </xdr:nvSpPr>
        <xdr:spPr>
          <a:xfrm>
            <a:off x="15" y="168"/>
            <a:ext cx="11" cy="8"/>
          </a:xfrm>
          <a:prstGeom prst="rect">
            <a:avLst/>
          </a:prstGeom>
          <a:solidFill>
            <a:srgbClr val="CCFFCC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</xdr:col>
      <xdr:colOff>66675</xdr:colOff>
      <xdr:row>11</xdr:row>
      <xdr:rowOff>28575</xdr:rowOff>
    </xdr:from>
    <xdr:to>
      <xdr:col>25</xdr:col>
      <xdr:colOff>457200</xdr:colOff>
      <xdr:row>30</xdr:row>
      <xdr:rowOff>104775</xdr:rowOff>
    </xdr:to>
    <xdr:grpSp>
      <xdr:nvGrpSpPr>
        <xdr:cNvPr id="124" name="Group 193"/>
        <xdr:cNvGrpSpPr>
          <a:grpSpLocks/>
        </xdr:cNvGrpSpPr>
      </xdr:nvGrpSpPr>
      <xdr:grpSpPr>
        <a:xfrm>
          <a:off x="4476750" y="1485900"/>
          <a:ext cx="3048000" cy="3295650"/>
          <a:chOff x="470" y="156"/>
          <a:chExt cx="320" cy="343"/>
        </a:xfrm>
        <a:solidFill>
          <a:srgbClr val="FFFFFF"/>
        </a:solidFill>
      </xdr:grpSpPr>
      <xdr:graphicFrame>
        <xdr:nvGraphicFramePr>
          <xdr:cNvPr id="125" name="Chart 9"/>
          <xdr:cNvGraphicFramePr/>
        </xdr:nvGraphicFramePr>
        <xdr:xfrm>
          <a:off x="470" y="156"/>
          <a:ext cx="320" cy="343"/>
        </xdr:xfrm>
        <a:graphic>
          <a:graphicData uri="http://schemas.openxmlformats.org/drawingml/2006/chart">
            <c:chart xmlns:c="http://schemas.openxmlformats.org/drawingml/2006/chart" r:id="rId4"/>
          </a:graphicData>
        </a:graphic>
      </xdr:graphicFrame>
      <xdr:grpSp>
        <xdr:nvGrpSpPr>
          <xdr:cNvPr id="126" name="Group 183"/>
          <xdr:cNvGrpSpPr>
            <a:grpSpLocks/>
          </xdr:cNvGrpSpPr>
        </xdr:nvGrpSpPr>
        <xdr:grpSpPr>
          <a:xfrm>
            <a:off x="515" y="472"/>
            <a:ext cx="262" cy="20"/>
            <a:chOff x="515" y="482"/>
            <a:chExt cx="262" cy="20"/>
          </a:xfrm>
          <a:solidFill>
            <a:srgbClr val="FFFFFF"/>
          </a:solidFill>
        </xdr:grpSpPr>
        <xdr:sp>
          <xdr:nvSpPr>
            <xdr:cNvPr id="127" name="TextBox 178"/>
            <xdr:cNvSpPr txBox="1">
              <a:spLocks noChangeArrowheads="1"/>
            </xdr:cNvSpPr>
          </xdr:nvSpPr>
          <xdr:spPr>
            <a:xfrm>
              <a:off x="515" y="483"/>
              <a:ext cx="30" cy="19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800" b="0" i="0" u="none" baseline="0">
                  <a:latin typeface="Arial"/>
                  <a:ea typeface="Arial"/>
                  <a:cs typeface="Arial"/>
                </a:rPr>
                <a:t>Fe</a:t>
              </a:r>
              <a:r>
                <a:rPr lang="en-US" cap="none" sz="1000" b="0" i="0" u="none" baseline="30000">
                  <a:latin typeface="Arial"/>
                  <a:ea typeface="Arial"/>
                  <a:cs typeface="Arial"/>
                </a:rPr>
                <a:t>2+</a:t>
              </a:r>
            </a:p>
          </xdr:txBody>
        </xdr:sp>
        <xdr:sp>
          <xdr:nvSpPr>
            <xdr:cNvPr id="128" name="TextBox 179"/>
            <xdr:cNvSpPr txBox="1">
              <a:spLocks noChangeArrowheads="1"/>
            </xdr:cNvSpPr>
          </xdr:nvSpPr>
          <xdr:spPr>
            <a:xfrm>
              <a:off x="674" y="482"/>
              <a:ext cx="30" cy="19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800" b="0" i="0" u="none" baseline="0">
                  <a:latin typeface="Arial"/>
                  <a:ea typeface="Arial"/>
                  <a:cs typeface="Arial"/>
                </a:rPr>
                <a:t>Fe</a:t>
              </a:r>
              <a:r>
                <a:rPr lang="en-US" cap="none" sz="1000" b="0" i="0" u="none" baseline="30000">
                  <a:latin typeface="Arial"/>
                  <a:ea typeface="Arial"/>
                  <a:cs typeface="Arial"/>
                </a:rPr>
                <a:t>3+</a:t>
              </a:r>
            </a:p>
          </xdr:txBody>
        </xdr:sp>
        <xdr:sp>
          <xdr:nvSpPr>
            <xdr:cNvPr id="129" name="TextBox 180"/>
            <xdr:cNvSpPr txBox="1">
              <a:spLocks noChangeArrowheads="1"/>
            </xdr:cNvSpPr>
          </xdr:nvSpPr>
          <xdr:spPr>
            <a:xfrm>
              <a:off x="589" y="482"/>
              <a:ext cx="40" cy="18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800" b="0" i="0" u="none" baseline="0">
                  <a:latin typeface="Arial"/>
                  <a:ea typeface="Arial"/>
                  <a:cs typeface="Arial"/>
                </a:rPr>
                <a:t>MnO</a:t>
              </a:r>
              <a:r>
                <a:rPr lang="en-US" cap="none" sz="1000" b="0" i="0" u="none" baseline="-25000">
                  <a:latin typeface="Arial"/>
                  <a:ea typeface="Arial"/>
                  <a:cs typeface="Arial"/>
                </a:rPr>
                <a:t>4</a:t>
              </a:r>
              <a:r>
                <a:rPr lang="en-US" cap="none" sz="1000" b="0" i="0" u="none" baseline="30000">
                  <a:latin typeface="Arial"/>
                  <a:ea typeface="Arial"/>
                  <a:cs typeface="Arial"/>
                </a:rPr>
                <a:t>-</a:t>
              </a:r>
            </a:p>
          </xdr:txBody>
        </xdr:sp>
        <xdr:sp>
          <xdr:nvSpPr>
            <xdr:cNvPr id="130" name="TextBox 181"/>
            <xdr:cNvSpPr txBox="1">
              <a:spLocks noChangeArrowheads="1"/>
            </xdr:cNvSpPr>
          </xdr:nvSpPr>
          <xdr:spPr>
            <a:xfrm>
              <a:off x="747" y="482"/>
              <a:ext cx="30" cy="19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800" b="0" i="0" u="none" baseline="0">
                  <a:latin typeface="Arial"/>
                  <a:ea typeface="Arial"/>
                  <a:cs typeface="Arial"/>
                </a:rPr>
                <a:t>Mn</a:t>
              </a:r>
              <a:r>
                <a:rPr lang="en-US" cap="none" sz="1000" b="0" i="0" u="none" baseline="30000">
                  <a:latin typeface="Arial"/>
                  <a:ea typeface="Arial"/>
                  <a:cs typeface="Arial"/>
                </a:rPr>
                <a:t>2+</a:t>
              </a:r>
            </a:p>
          </xdr:txBody>
        </xdr:sp>
      </xdr:grpSp>
      <xdr:sp>
        <xdr:nvSpPr>
          <xdr:cNvPr id="131" name="TextBox 191"/>
          <xdr:cNvSpPr txBox="1">
            <a:spLocks noChangeArrowheads="1"/>
          </xdr:cNvSpPr>
        </xdr:nvSpPr>
        <xdr:spPr>
          <a:xfrm>
            <a:off x="767" y="182"/>
            <a:ext cx="11" cy="8"/>
          </a:xfrm>
          <a:prstGeom prst="rect">
            <a:avLst/>
          </a:prstGeom>
          <a:solidFill>
            <a:srgbClr val="CCFFCC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600075</xdr:colOff>
      <xdr:row>0</xdr:row>
      <xdr:rowOff>266700</xdr:rowOff>
    </xdr:from>
    <xdr:to>
      <xdr:col>1</xdr:col>
      <xdr:colOff>457200</xdr:colOff>
      <xdr:row>3</xdr:row>
      <xdr:rowOff>0</xdr:rowOff>
    </xdr:to>
    <xdr:grpSp>
      <xdr:nvGrpSpPr>
        <xdr:cNvPr id="132" name="Group 206"/>
        <xdr:cNvGrpSpPr>
          <a:grpSpLocks/>
        </xdr:cNvGrpSpPr>
      </xdr:nvGrpSpPr>
      <xdr:grpSpPr>
        <a:xfrm>
          <a:off x="600075" y="266700"/>
          <a:ext cx="495300" cy="257175"/>
          <a:chOff x="63" y="28"/>
          <a:chExt cx="52" cy="27"/>
        </a:xfrm>
        <a:solidFill>
          <a:srgbClr val="FFFFFF"/>
        </a:solidFill>
      </xdr:grpSpPr>
    </xdr:grpSp>
    <xdr:clientData/>
  </xdr:twoCellAnchor>
  <xdr:twoCellAnchor>
    <xdr:from>
      <xdr:col>0</xdr:col>
      <xdr:colOff>0</xdr:colOff>
      <xdr:row>6</xdr:row>
      <xdr:rowOff>9525</xdr:rowOff>
    </xdr:from>
    <xdr:to>
      <xdr:col>26</xdr:col>
      <xdr:colOff>9525</xdr:colOff>
      <xdr:row>11</xdr:row>
      <xdr:rowOff>9525</xdr:rowOff>
    </xdr:to>
    <xdr:sp>
      <xdr:nvSpPr>
        <xdr:cNvPr id="135" name="TextBox 198"/>
        <xdr:cNvSpPr txBox="1">
          <a:spLocks noChangeArrowheads="1"/>
        </xdr:cNvSpPr>
      </xdr:nvSpPr>
      <xdr:spPr>
        <a:xfrm>
          <a:off x="0" y="762000"/>
          <a:ext cx="757237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28575</xdr:colOff>
      <xdr:row>11</xdr:row>
      <xdr:rowOff>9525</xdr:rowOff>
    </xdr:from>
    <xdr:to>
      <xdr:col>26</xdr:col>
      <xdr:colOff>0</xdr:colOff>
      <xdr:row>30</xdr:row>
      <xdr:rowOff>133350</xdr:rowOff>
    </xdr:to>
    <xdr:sp>
      <xdr:nvSpPr>
        <xdr:cNvPr id="136" name="TextBox 204"/>
        <xdr:cNvSpPr txBox="1">
          <a:spLocks noChangeArrowheads="1"/>
        </xdr:cNvSpPr>
      </xdr:nvSpPr>
      <xdr:spPr>
        <a:xfrm>
          <a:off x="4438650" y="1466850"/>
          <a:ext cx="3124200" cy="3343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390525</xdr:colOff>
      <xdr:row>0</xdr:row>
      <xdr:rowOff>95250</xdr:rowOff>
    </xdr:from>
    <xdr:to>
      <xdr:col>22</xdr:col>
      <xdr:colOff>200025</xdr:colOff>
      <xdr:row>2</xdr:row>
      <xdr:rowOff>0</xdr:rowOff>
    </xdr:to>
    <xdr:sp>
      <xdr:nvSpPr>
        <xdr:cNvPr id="1" name="AutoShape 2"/>
        <xdr:cNvSpPr>
          <a:spLocks/>
        </xdr:cNvSpPr>
      </xdr:nvSpPr>
      <xdr:spPr>
        <a:xfrm>
          <a:off x="1238250" y="95250"/>
          <a:ext cx="4962525" cy="5143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gradFill rotWithShape="1">
                <a:gsLst>
                  <a:gs pos="0">
                    <a:srgbClr val="A603AB"/>
                  </a:gs>
                  <a:gs pos="12000">
                    <a:srgbClr val="E81766"/>
                  </a:gs>
                  <a:gs pos="27000">
                    <a:srgbClr val="EE3F17"/>
                  </a:gs>
                  <a:gs pos="48000">
                    <a:srgbClr val="FFFF00"/>
                  </a:gs>
                  <a:gs pos="64999">
                    <a:srgbClr val="1A8D48"/>
                  </a:gs>
                  <a:gs pos="78999">
                    <a:srgbClr val="0819FB"/>
                  </a:gs>
                  <a:gs pos="100000">
                    <a:srgbClr val="A603AB"/>
                  </a:gs>
                </a:gsLst>
                <a:lin ang="0" scaled="1"/>
              </a:gradFill>
              <a:effectLst>
                <a:outerShdw dist="35921" dir="2700000" sy="50000" kx="2115830" algn="bl">
                  <a:srgbClr val="C0C0C0">
                    <a:alpha val="100000"/>
                  </a:srgbClr>
                </a:outerShdw>
              </a:effectLst>
              <a:latin typeface="Arial Black"/>
              <a:cs typeface="Arial Black"/>
            </a:rPr>
            <a:t>Etat de l'avancement maximal au cours du titrage
</a:t>
          </a:r>
        </a:p>
      </xdr:txBody>
    </xdr:sp>
    <xdr:clientData/>
  </xdr:twoCellAnchor>
  <xdr:twoCellAnchor>
    <xdr:from>
      <xdr:col>10</xdr:col>
      <xdr:colOff>276225</xdr:colOff>
      <xdr:row>11</xdr:row>
      <xdr:rowOff>38100</xdr:rowOff>
    </xdr:from>
    <xdr:to>
      <xdr:col>24</xdr:col>
      <xdr:colOff>342900</xdr:colOff>
      <xdr:row>28</xdr:row>
      <xdr:rowOff>9525</xdr:rowOff>
    </xdr:to>
    <xdr:grpSp>
      <xdr:nvGrpSpPr>
        <xdr:cNvPr id="2" name="Group 21"/>
        <xdr:cNvGrpSpPr>
          <a:grpSpLocks/>
        </xdr:cNvGrpSpPr>
      </xdr:nvGrpSpPr>
      <xdr:grpSpPr>
        <a:xfrm>
          <a:off x="3228975" y="1619250"/>
          <a:ext cx="4152900" cy="2724150"/>
          <a:chOff x="320" y="207"/>
          <a:chExt cx="436" cy="286"/>
        </a:xfrm>
        <a:solidFill>
          <a:srgbClr val="FFFFFF"/>
        </a:solidFill>
      </xdr:grpSpPr>
      <xdr:graphicFrame>
        <xdr:nvGraphicFramePr>
          <xdr:cNvPr id="3" name="Chart 1"/>
          <xdr:cNvGraphicFramePr/>
        </xdr:nvGraphicFramePr>
        <xdr:xfrm>
          <a:off x="320" y="207"/>
          <a:ext cx="436" cy="286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4" name="TextBox 14"/>
          <xdr:cNvSpPr txBox="1">
            <a:spLocks noChangeArrowheads="1"/>
          </xdr:cNvSpPr>
        </xdr:nvSpPr>
        <xdr:spPr>
          <a:xfrm>
            <a:off x="362" y="466"/>
            <a:ext cx="28" cy="1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Fe</a:t>
            </a:r>
            <a:r>
              <a:rPr lang="en-US" cap="none" sz="1000" b="0" i="0" u="none" baseline="30000">
                <a:latin typeface="Arial"/>
                <a:ea typeface="Arial"/>
                <a:cs typeface="Arial"/>
              </a:rPr>
              <a:t>2+</a:t>
            </a:r>
          </a:p>
        </xdr:txBody>
      </xdr:sp>
      <xdr:sp>
        <xdr:nvSpPr>
          <xdr:cNvPr id="5" name="TextBox 15"/>
          <xdr:cNvSpPr txBox="1">
            <a:spLocks noChangeArrowheads="1"/>
          </xdr:cNvSpPr>
        </xdr:nvSpPr>
        <xdr:spPr>
          <a:xfrm>
            <a:off x="514" y="466"/>
            <a:ext cx="31" cy="1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Fe</a:t>
            </a:r>
            <a:r>
              <a:rPr lang="en-US" cap="none" sz="1000" b="0" i="0" u="none" baseline="30000">
                <a:latin typeface="Arial"/>
                <a:ea typeface="Arial"/>
                <a:cs typeface="Arial"/>
              </a:rPr>
              <a:t>3+</a:t>
            </a:r>
          </a:p>
        </xdr:txBody>
      </xdr:sp>
      <xdr:sp>
        <xdr:nvSpPr>
          <xdr:cNvPr id="6" name="TextBox 16"/>
          <xdr:cNvSpPr txBox="1">
            <a:spLocks noChangeArrowheads="1"/>
          </xdr:cNvSpPr>
        </xdr:nvSpPr>
        <xdr:spPr>
          <a:xfrm>
            <a:off x="434" y="464"/>
            <a:ext cx="40" cy="1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MnO</a:t>
            </a:r>
            <a:r>
              <a:rPr lang="en-US" cap="none" sz="1000" b="0" i="0" u="none" baseline="-25000">
                <a:latin typeface="Arial"/>
                <a:ea typeface="Arial"/>
                <a:cs typeface="Arial"/>
              </a:rPr>
              <a:t>4</a:t>
            </a:r>
            <a:r>
              <a:rPr lang="en-US" cap="none" sz="1000" b="0" i="0" u="none" baseline="30000">
                <a:latin typeface="Arial"/>
                <a:ea typeface="Arial"/>
                <a:cs typeface="Arial"/>
              </a:rPr>
              <a:t>-</a:t>
            </a:r>
          </a:p>
        </xdr:txBody>
      </xdr:sp>
      <xdr:sp>
        <xdr:nvSpPr>
          <xdr:cNvPr id="7" name="TextBox 17"/>
          <xdr:cNvSpPr txBox="1">
            <a:spLocks noChangeArrowheads="1"/>
          </xdr:cNvSpPr>
        </xdr:nvSpPr>
        <xdr:spPr>
          <a:xfrm>
            <a:off x="583" y="465"/>
            <a:ext cx="31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Mn</a:t>
            </a:r>
            <a:r>
              <a:rPr lang="en-US" cap="none" sz="1000" b="0" i="0" u="none" baseline="30000">
                <a:latin typeface="Arial"/>
                <a:ea typeface="Arial"/>
                <a:cs typeface="Arial"/>
              </a:rPr>
              <a:t>2+</a:t>
            </a:r>
          </a:p>
        </xdr:txBody>
      </xdr:sp>
    </xdr:grpSp>
    <xdr:clientData/>
  </xdr:twoCellAnchor>
  <xdr:twoCellAnchor>
    <xdr:from>
      <xdr:col>0</xdr:col>
      <xdr:colOff>76200</xdr:colOff>
      <xdr:row>11</xdr:row>
      <xdr:rowOff>28575</xdr:rowOff>
    </xdr:from>
    <xdr:to>
      <xdr:col>10</xdr:col>
      <xdr:colOff>190500</xdr:colOff>
      <xdr:row>28</xdr:row>
      <xdr:rowOff>9525</xdr:rowOff>
    </xdr:to>
    <xdr:graphicFrame>
      <xdr:nvGraphicFramePr>
        <xdr:cNvPr id="8" name="Chart 20"/>
        <xdr:cNvGraphicFramePr/>
      </xdr:nvGraphicFramePr>
      <xdr:xfrm>
        <a:off x="76200" y="1609725"/>
        <a:ext cx="3067050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0.0595</cdr:x>
      <cdr:y>0.1205</cdr:y>
    </cdr:from>
    <cdr:to>
      <cdr:x>0.15475</cdr:x>
      <cdr:y>0.158</cdr:y>
    </cdr:to>
    <cdr:sp>
      <cdr:nvSpPr>
        <cdr:cNvPr id="1" name="TextBox 1"/>
        <cdr:cNvSpPr txBox="1">
          <a:spLocks noChangeArrowheads="1"/>
        </cdr:cNvSpPr>
      </cdr:nvSpPr>
      <cdr:spPr>
        <a:xfrm>
          <a:off x="152400" y="381000"/>
          <a:ext cx="247650" cy="114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mol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11</xdr:row>
      <xdr:rowOff>19050</xdr:rowOff>
    </xdr:from>
    <xdr:to>
      <xdr:col>9</xdr:col>
      <xdr:colOff>285750</xdr:colOff>
      <xdr:row>29</xdr:row>
      <xdr:rowOff>133350</xdr:rowOff>
    </xdr:to>
    <xdr:sp>
      <xdr:nvSpPr>
        <xdr:cNvPr id="1" name="TextBox 177"/>
        <xdr:cNvSpPr txBox="1">
          <a:spLocks noChangeArrowheads="1"/>
        </xdr:cNvSpPr>
      </xdr:nvSpPr>
      <xdr:spPr>
        <a:xfrm>
          <a:off x="19050" y="1476375"/>
          <a:ext cx="2676525" cy="3181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19050</xdr:rowOff>
    </xdr:from>
    <xdr:to>
      <xdr:col>23</xdr:col>
      <xdr:colOff>714375</xdr:colOff>
      <xdr:row>0</xdr:row>
      <xdr:rowOff>276225</xdr:rowOff>
    </xdr:to>
    <xdr:sp>
      <xdr:nvSpPr>
        <xdr:cNvPr id="2" name="AutoShape 3"/>
        <xdr:cNvSpPr>
          <a:spLocks/>
        </xdr:cNvSpPr>
      </xdr:nvSpPr>
      <xdr:spPr>
        <a:xfrm>
          <a:off x="38100" y="19050"/>
          <a:ext cx="7334250" cy="2571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gradFill rotWithShape="1">
                <a:gsLst>
                  <a:gs pos="0">
                    <a:srgbClr val="A603AB"/>
                  </a:gs>
                  <a:gs pos="12000">
                    <a:srgbClr val="E81766"/>
                  </a:gs>
                  <a:gs pos="27000">
                    <a:srgbClr val="EE3F17"/>
                  </a:gs>
                  <a:gs pos="48000">
                    <a:srgbClr val="FFFF00"/>
                  </a:gs>
                  <a:gs pos="64999">
                    <a:srgbClr val="1A8D48"/>
                  </a:gs>
                  <a:gs pos="78999">
                    <a:srgbClr val="0819FB"/>
                  </a:gs>
                  <a:gs pos="100000">
                    <a:srgbClr val="A603AB"/>
                  </a:gs>
                </a:gsLst>
                <a:lin ang="0" scaled="1"/>
              </a:gradFill>
              <a:effectLst>
                <a:outerShdw dist="35921" dir="2700000" sy="50000" kx="2115830" algn="bl">
                  <a:srgbClr val="C0C0C0">
                    <a:alpha val="100000"/>
                  </a:srgbClr>
                </a:outerShdw>
              </a:effectLst>
              <a:latin typeface="Arial Black"/>
              <a:cs typeface="Arial Black"/>
            </a:rPr>
            <a:t>Evolution des quantités de matière au cours du titrage d'oxydoréduction</a:t>
          </a:r>
        </a:p>
      </xdr:txBody>
    </xdr:sp>
    <xdr:clientData/>
  </xdr:twoCellAnchor>
  <xdr:twoCellAnchor>
    <xdr:from>
      <xdr:col>10</xdr:col>
      <xdr:colOff>0</xdr:colOff>
      <xdr:row>12</xdr:row>
      <xdr:rowOff>76200</xdr:rowOff>
    </xdr:from>
    <xdr:to>
      <xdr:col>15</xdr:col>
      <xdr:colOff>38100</xdr:colOff>
      <xdr:row>31</xdr:row>
      <xdr:rowOff>0</xdr:rowOff>
    </xdr:to>
    <xdr:grpSp>
      <xdr:nvGrpSpPr>
        <xdr:cNvPr id="3" name="Group 182"/>
        <xdr:cNvGrpSpPr>
          <a:grpSpLocks/>
        </xdr:cNvGrpSpPr>
      </xdr:nvGrpSpPr>
      <xdr:grpSpPr>
        <a:xfrm>
          <a:off x="2733675" y="1695450"/>
          <a:ext cx="1590675" cy="3200400"/>
          <a:chOff x="287" y="178"/>
          <a:chExt cx="167" cy="332"/>
        </a:xfrm>
        <a:solidFill>
          <a:srgbClr val="FFFFFF"/>
        </a:solidFill>
      </xdr:grpSpPr>
      <xdr:grpSp>
        <xdr:nvGrpSpPr>
          <xdr:cNvPr id="4" name="Group 181"/>
          <xdr:cNvGrpSpPr>
            <a:grpSpLocks/>
          </xdr:cNvGrpSpPr>
        </xdr:nvGrpSpPr>
        <xdr:grpSpPr>
          <a:xfrm>
            <a:off x="287" y="181"/>
            <a:ext cx="78" cy="288"/>
            <a:chOff x="287" y="181"/>
            <a:chExt cx="78" cy="288"/>
          </a:xfrm>
          <a:solidFill>
            <a:srgbClr val="FFFFFF"/>
          </a:solidFill>
        </xdr:grpSpPr>
      </xdr:grpSp>
      <xdr:grpSp>
        <xdr:nvGrpSpPr>
          <xdr:cNvPr id="10" name="Group 158"/>
          <xdr:cNvGrpSpPr>
            <a:grpSpLocks/>
          </xdr:cNvGrpSpPr>
        </xdr:nvGrpSpPr>
        <xdr:grpSpPr>
          <a:xfrm>
            <a:off x="390" y="178"/>
            <a:ext cx="64" cy="332"/>
            <a:chOff x="390" y="178"/>
            <a:chExt cx="64" cy="330"/>
          </a:xfrm>
          <a:solidFill>
            <a:srgbClr val="FFFFFF"/>
          </a:solidFill>
        </xdr:grpSpPr>
        <xdr:grpSp>
          <xdr:nvGrpSpPr>
            <xdr:cNvPr id="11" name="Group 140"/>
            <xdr:cNvGrpSpPr>
              <a:grpSpLocks/>
            </xdr:cNvGrpSpPr>
          </xdr:nvGrpSpPr>
          <xdr:grpSpPr>
            <a:xfrm>
              <a:off x="390" y="439"/>
              <a:ext cx="64" cy="69"/>
              <a:chOff x="397" y="498"/>
              <a:chExt cx="64" cy="69"/>
            </a:xfrm>
            <a:solidFill>
              <a:srgbClr val="FFFFFF"/>
            </a:solidFill>
          </xdr:grpSpPr>
          <xdr:graphicFrame>
            <xdr:nvGraphicFramePr>
              <xdr:cNvPr id="12" name="Chart 139"/>
              <xdr:cNvGraphicFramePr/>
            </xdr:nvGraphicFramePr>
            <xdr:xfrm>
              <a:off x="399" y="498"/>
              <a:ext cx="61" cy="55"/>
            </xdr:xfrm>
            <a:graphic>
              <a:graphicData uri="http://schemas.openxmlformats.org/drawingml/2006/chart">
                <c:chart xmlns:c="http://schemas.openxmlformats.org/drawingml/2006/chart" r:id="rId1"/>
              </a:graphicData>
            </a:graphic>
          </xdr:graphicFrame>
          <xdr:sp>
            <xdr:nvSpPr>
              <xdr:cNvPr id="13" name="Line 119"/>
              <xdr:cNvSpPr>
                <a:spLocks/>
              </xdr:cNvSpPr>
            </xdr:nvSpPr>
            <xdr:spPr>
              <a:xfrm>
                <a:off x="412" y="551"/>
                <a:ext cx="37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" name="Line 120"/>
              <xdr:cNvSpPr>
                <a:spLocks/>
              </xdr:cNvSpPr>
            </xdr:nvSpPr>
            <xdr:spPr>
              <a:xfrm>
                <a:off x="454" y="504"/>
                <a:ext cx="0" cy="42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" name="Arc 121"/>
              <xdr:cNvSpPr>
                <a:spLocks/>
              </xdr:cNvSpPr>
            </xdr:nvSpPr>
            <xdr:spPr>
              <a:xfrm rot="10800000" flipH="1">
                <a:off x="447" y="544"/>
                <a:ext cx="8" cy="7"/>
              </a:xfrm>
              <a:prstGeom prst="arc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" name="Line 122"/>
              <xdr:cNvSpPr>
                <a:spLocks/>
              </xdr:cNvSpPr>
            </xdr:nvSpPr>
            <xdr:spPr>
              <a:xfrm>
                <a:off x="412" y="551"/>
                <a:ext cx="37" cy="0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" name="Line 123"/>
              <xdr:cNvSpPr>
                <a:spLocks/>
              </xdr:cNvSpPr>
            </xdr:nvSpPr>
            <xdr:spPr>
              <a:xfrm>
                <a:off x="405" y="502"/>
                <a:ext cx="0" cy="45"/>
              </a:xfrm>
              <a:prstGeom prst="line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" name="Arc 124"/>
              <xdr:cNvSpPr>
                <a:spLocks/>
              </xdr:cNvSpPr>
            </xdr:nvSpPr>
            <xdr:spPr>
              <a:xfrm rot="16200000" flipH="1">
                <a:off x="405" y="544"/>
                <a:ext cx="8" cy="7"/>
              </a:xfrm>
              <a:prstGeom prst="arc">
                <a:avLst/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9" name="Arc 125"/>
              <xdr:cNvSpPr>
                <a:spLocks/>
              </xdr:cNvSpPr>
            </xdr:nvSpPr>
            <xdr:spPr>
              <a:xfrm flipH="1">
                <a:off x="453" y="499"/>
                <a:ext cx="8" cy="7"/>
              </a:xfrm>
              <a:prstGeom prst="arc">
                <a:avLst>
                  <a:gd name="adj1" fmla="val -25671888"/>
                  <a:gd name="adj2" fmla="val 49532"/>
                </a:avLst>
              </a:pr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0" name="AutoShape 126"/>
              <xdr:cNvSpPr>
                <a:spLocks/>
              </xdr:cNvSpPr>
            </xdr:nvSpPr>
            <xdr:spPr>
              <a:xfrm>
                <a:off x="397" y="551"/>
                <a:ext cx="63" cy="16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1" name="Rectangle 127"/>
              <xdr:cNvSpPr>
                <a:spLocks/>
              </xdr:cNvSpPr>
            </xdr:nvSpPr>
            <xdr:spPr>
              <a:xfrm flipV="1">
                <a:off x="424" y="547"/>
                <a:ext cx="9" cy="2"/>
              </a:xfrm>
              <a:prstGeom prst="roundRect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grpSp>
          <xdr:nvGrpSpPr>
            <xdr:cNvPr id="22" name="Group 135"/>
            <xdr:cNvGrpSpPr>
              <a:grpSpLocks/>
            </xdr:cNvGrpSpPr>
          </xdr:nvGrpSpPr>
          <xdr:grpSpPr>
            <a:xfrm>
              <a:off x="391" y="178"/>
              <a:ext cx="40" cy="235"/>
              <a:chOff x="391" y="177"/>
              <a:chExt cx="40" cy="236"/>
            </a:xfrm>
            <a:solidFill>
              <a:srgbClr val="FFFFFF"/>
            </a:solidFill>
          </xdr:grpSpPr>
          <xdr:sp>
            <xdr:nvSpPr>
              <xdr:cNvPr id="23" name="Line 18"/>
              <xdr:cNvSpPr>
                <a:spLocks/>
              </xdr:cNvSpPr>
            </xdr:nvSpPr>
            <xdr:spPr>
              <a:xfrm>
                <a:off x="397" y="394"/>
                <a:ext cx="34" cy="10"/>
              </a:xfrm>
              <a:prstGeom prst="line">
                <a:avLst/>
              </a:prstGeom>
              <a:noFill/>
              <a:ln w="19050" cmpd="sng">
                <a:solidFill>
                  <a:srgbClr val="FF0000"/>
                </a:solidFill>
                <a:headEnd type="none"/>
                <a:tailEnd type="arrow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graphicFrame>
            <xdr:nvGraphicFramePr>
              <xdr:cNvPr id="24" name="Chart 19"/>
              <xdr:cNvGraphicFramePr/>
            </xdr:nvGraphicFramePr>
            <xdr:xfrm>
              <a:off x="391" y="181"/>
              <a:ext cx="32" cy="223"/>
            </xdr:xfrm>
            <a:graphic>
              <a:graphicData uri="http://schemas.openxmlformats.org/drawingml/2006/chart">
                <c:chart xmlns:c="http://schemas.openxmlformats.org/drawingml/2006/chart" r:id="rId2"/>
              </a:graphicData>
            </a:graphic>
          </xdr:graphicFrame>
          <xdr:grpSp>
            <xdr:nvGrpSpPr>
              <xdr:cNvPr id="25" name="Group 20"/>
              <xdr:cNvGrpSpPr>
                <a:grpSpLocks/>
              </xdr:cNvGrpSpPr>
            </xdr:nvGrpSpPr>
            <xdr:grpSpPr>
              <a:xfrm>
                <a:off x="406" y="177"/>
                <a:ext cx="22" cy="236"/>
                <a:chOff x="18" y="0"/>
                <a:chExt cx="19894" cy="20000"/>
              </a:xfrm>
              <a:solidFill>
                <a:srgbClr val="FFFFFF"/>
              </a:solidFill>
            </xdr:grpSpPr>
            <xdr:sp>
              <xdr:nvSpPr>
                <xdr:cNvPr id="26" name="AutoShape 21"/>
                <xdr:cNvSpPr>
                  <a:spLocks/>
                </xdr:cNvSpPr>
              </xdr:nvSpPr>
              <xdr:spPr>
                <a:xfrm>
                  <a:off x="3325" y="205"/>
                  <a:ext cx="60" cy="18185"/>
                </a:xfrm>
                <a:prstGeom prst="line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7" name="AutoShape 22"/>
                <xdr:cNvSpPr>
                  <a:spLocks/>
                </xdr:cNvSpPr>
              </xdr:nvSpPr>
              <xdr:spPr>
                <a:xfrm>
                  <a:off x="16550" y="205"/>
                  <a:ext cx="60" cy="18185"/>
                </a:xfrm>
                <a:prstGeom prst="line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8" name="AutoShape 23"/>
                <xdr:cNvSpPr>
                  <a:spLocks/>
                </xdr:cNvSpPr>
              </xdr:nvSpPr>
              <xdr:spPr>
                <a:xfrm>
                  <a:off x="18" y="0"/>
                  <a:ext cx="3362" cy="210"/>
                </a:xfrm>
                <a:prstGeom prst="line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9" name="AutoShape 24"/>
                <xdr:cNvSpPr>
                  <a:spLocks/>
                </xdr:cNvSpPr>
              </xdr:nvSpPr>
              <xdr:spPr>
                <a:xfrm flipH="1">
                  <a:off x="16550" y="0"/>
                  <a:ext cx="3362" cy="210"/>
                </a:xfrm>
                <a:prstGeom prst="line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grpSp>
              <xdr:nvGrpSpPr>
                <xdr:cNvPr id="30" name="Group 25"/>
                <xdr:cNvGrpSpPr>
                  <a:grpSpLocks/>
                </xdr:cNvGrpSpPr>
              </xdr:nvGrpSpPr>
              <xdr:grpSpPr>
                <a:xfrm>
                  <a:off x="9065" y="1430"/>
                  <a:ext cx="7540" cy="15940"/>
                  <a:chOff x="0" y="0"/>
                  <a:chExt cx="20000" cy="19942"/>
                </a:xfrm>
                <a:solidFill>
                  <a:srgbClr val="FFFFFF"/>
                </a:solidFill>
              </xdr:grpSpPr>
              <xdr:grpSp>
                <xdr:nvGrpSpPr>
                  <xdr:cNvPr id="31" name="Group 26"/>
                  <xdr:cNvGrpSpPr>
                    <a:grpSpLocks/>
                  </xdr:cNvGrpSpPr>
                </xdr:nvGrpSpPr>
                <xdr:grpSpPr>
                  <a:xfrm>
                    <a:off x="0" y="0"/>
                    <a:ext cx="20000" cy="15854"/>
                    <a:chOff x="0" y="0"/>
                    <a:chExt cx="20000" cy="19035"/>
                  </a:xfrm>
                  <a:solidFill>
                    <a:srgbClr val="FFFFFF"/>
                  </a:solidFill>
                </xdr:grpSpPr>
                <xdr:grpSp>
                  <xdr:nvGrpSpPr>
                    <xdr:cNvPr id="32" name="Group 27"/>
                    <xdr:cNvGrpSpPr>
                      <a:grpSpLocks/>
                    </xdr:cNvGrpSpPr>
                  </xdr:nvGrpSpPr>
                  <xdr:grpSpPr>
                    <a:xfrm>
                      <a:off x="0" y="0"/>
                      <a:ext cx="19230" cy="9213"/>
                      <a:chOff x="0" y="0"/>
                      <a:chExt cx="20000" cy="18422"/>
                    </a:xfrm>
                    <a:solidFill>
                      <a:srgbClr val="FFFFFF"/>
                    </a:solidFill>
                  </xdr:grpSpPr>
                  <xdr:grpSp>
                    <xdr:nvGrpSpPr>
                      <xdr:cNvPr id="33" name="Group 28"/>
                      <xdr:cNvGrpSpPr>
                        <a:grpSpLocks/>
                      </xdr:cNvGrpSpPr>
                    </xdr:nvGrpSpPr>
                    <xdr:grpSpPr>
                      <a:xfrm>
                        <a:off x="0" y="0"/>
                        <a:ext cx="19360" cy="8603"/>
                        <a:chOff x="0" y="0"/>
                        <a:chExt cx="20000" cy="18642"/>
                      </a:xfrm>
                      <a:solidFill>
                        <a:srgbClr val="FFFFFF"/>
                      </a:solidFill>
                    </xdr:grpSpPr>
                    <xdr:grpSp>
                      <xdr:nvGrpSpPr>
                        <xdr:cNvPr id="34" name="Group 29"/>
                        <xdr:cNvGrpSpPr>
                          <a:grpSpLocks/>
                        </xdr:cNvGrpSpPr>
                      </xdr:nvGrpSpPr>
                      <xdr:grpSpPr>
                        <a:xfrm>
                          <a:off x="0" y="0"/>
                          <a:ext cx="19505" cy="8007"/>
                          <a:chOff x="0" y="0"/>
                          <a:chExt cx="20000" cy="18789"/>
                        </a:xfrm>
                        <a:solidFill>
                          <a:srgbClr val="FFFFFF"/>
                        </a:solidFill>
                      </xdr:grpSpPr>
                      <xdr:grpSp>
                        <xdr:nvGrpSpPr>
                          <xdr:cNvPr id="35" name="Group 30"/>
                          <xdr:cNvGrpSpPr>
                            <a:grpSpLocks/>
                          </xdr:cNvGrpSpPr>
                        </xdr:nvGrpSpPr>
                        <xdr:grpSpPr>
                          <a:xfrm>
                            <a:off x="0" y="0"/>
                            <a:ext cx="19660" cy="6285"/>
                            <a:chOff x="0" y="0"/>
                            <a:chExt cx="20000" cy="18746"/>
                          </a:xfrm>
                          <a:solidFill>
                            <a:srgbClr val="FFFFFF"/>
                          </a:solidFill>
                        </xdr:grpSpPr>
                        <xdr:sp>
                          <xdr:nvSpPr>
                            <xdr:cNvPr id="36" name="AutoShape 31"/>
                            <xdr:cNvSpPr>
                              <a:spLocks/>
                            </xdr:cNvSpPr>
                          </xdr:nvSpPr>
                          <xdr:spPr>
                            <a:xfrm>
                              <a:off x="0" y="0"/>
                              <a:ext cx="19830" cy="183"/>
                            </a:xfrm>
                            <a:prstGeom prst="line">
                              <a:avLst/>
                            </a:prstGeom>
                            <a:solidFill>
                              <a:srgbClr val="FFFFFF"/>
                            </a:solidFill>
                            <a:ln w="9525" cmpd="sng">
                              <a:solidFill>
                                <a:srgbClr val="000000"/>
                              </a:solidFill>
                              <a:headEnd type="none"/>
                              <a:tailEnd type="none"/>
                            </a:ln>
                          </xdr:spPr>
                          <xdr:txBody>
                            <a:bodyPr vertOverflow="clip" wrap="square" lIns="91440" tIns="45720" rIns="91440" bIns="45720"/>
                            <a:p>
                              <a:pPr algn="l">
                                <a:defRPr/>
                              </a:pPr>
                              <a:r>
                                <a:rPr lang="en-US" cap="none" u="none" baseline="0">
                                  <a:latin typeface="Arial"/>
                                  <a:ea typeface="Arial"/>
                                  <a:cs typeface="Arial"/>
                                </a:rPr>
                                <a:t/>
                              </a:r>
                            </a:p>
                          </xdr:txBody>
                        </xdr:sp>
                        <xdr:sp>
                          <xdr:nvSpPr>
                            <xdr:cNvPr id="37" name="AutoShape 32"/>
                            <xdr:cNvSpPr>
                              <a:spLocks/>
                            </xdr:cNvSpPr>
                          </xdr:nvSpPr>
                          <xdr:spPr>
                            <a:xfrm>
                              <a:off x="170" y="18591"/>
                              <a:ext cx="19830" cy="155"/>
                            </a:xfrm>
                            <a:prstGeom prst="line">
                              <a:avLst/>
                            </a:prstGeom>
                            <a:solidFill>
                              <a:srgbClr val="FFFFFF"/>
                            </a:solidFill>
                            <a:ln w="9525" cmpd="sng">
                              <a:solidFill>
                                <a:srgbClr val="000000"/>
                              </a:solidFill>
                              <a:headEnd type="none"/>
                              <a:tailEnd type="none"/>
                            </a:ln>
                          </xdr:spPr>
                          <xdr:txBody>
                            <a:bodyPr vertOverflow="clip" wrap="square" lIns="91440" tIns="45720" rIns="91440" bIns="45720"/>
                            <a:p>
                              <a:pPr algn="l">
                                <a:defRPr/>
                              </a:pPr>
                              <a:r>
                                <a:rPr lang="en-US" cap="none" u="none" baseline="0">
                                  <a:latin typeface="Arial"/>
                                  <a:ea typeface="Arial"/>
                                  <a:cs typeface="Arial"/>
                                </a:rPr>
                                <a:t/>
                              </a:r>
                            </a:p>
                          </xdr:txBody>
                        </xdr:sp>
                      </xdr:grpSp>
                      <xdr:grpSp>
                        <xdr:nvGrpSpPr>
                          <xdr:cNvPr id="38" name="Group 33"/>
                          <xdr:cNvGrpSpPr>
                            <a:grpSpLocks/>
                          </xdr:cNvGrpSpPr>
                        </xdr:nvGrpSpPr>
                        <xdr:grpSpPr>
                          <a:xfrm>
                            <a:off x="340" y="12476"/>
                            <a:ext cx="19660" cy="6313"/>
                            <a:chOff x="0" y="70"/>
                            <a:chExt cx="20000" cy="19977"/>
                          </a:xfrm>
                          <a:solidFill>
                            <a:srgbClr val="FFFFFF"/>
                          </a:solidFill>
                        </xdr:grpSpPr>
                        <xdr:sp>
                          <xdr:nvSpPr>
                            <xdr:cNvPr id="39" name="AutoShape 34"/>
                            <xdr:cNvSpPr>
                              <a:spLocks/>
                            </xdr:cNvSpPr>
                          </xdr:nvSpPr>
                          <xdr:spPr>
                            <a:xfrm>
                              <a:off x="0" y="70"/>
                              <a:ext cx="19830" cy="195"/>
                            </a:xfrm>
                            <a:prstGeom prst="line">
                              <a:avLst/>
                            </a:prstGeom>
                            <a:solidFill>
                              <a:srgbClr val="FFFFFF"/>
                            </a:solidFill>
                            <a:ln w="9525" cmpd="sng">
                              <a:solidFill>
                                <a:srgbClr val="000000"/>
                              </a:solidFill>
                              <a:headEnd type="none"/>
                              <a:tailEnd type="none"/>
                            </a:ln>
                          </xdr:spPr>
                          <xdr:txBody>
                            <a:bodyPr vertOverflow="clip" wrap="square" lIns="91440" tIns="45720" rIns="91440" bIns="45720"/>
                            <a:p>
                              <a:pPr algn="l">
                                <a:defRPr/>
                              </a:pPr>
                              <a:r>
                                <a:rPr lang="en-US" cap="none" u="none" baseline="0">
                                  <a:latin typeface="Arial"/>
                                  <a:ea typeface="Arial"/>
                                  <a:cs typeface="Arial"/>
                                </a:rPr>
                                <a:t/>
                              </a:r>
                            </a:p>
                          </xdr:txBody>
                        </xdr:sp>
                        <xdr:sp>
                          <xdr:nvSpPr>
                            <xdr:cNvPr id="40" name="AutoShape 35"/>
                            <xdr:cNvSpPr>
                              <a:spLocks/>
                            </xdr:cNvSpPr>
                          </xdr:nvSpPr>
                          <xdr:spPr>
                            <a:xfrm>
                              <a:off x="175" y="19852"/>
                              <a:ext cx="19825" cy="195"/>
                            </a:xfrm>
                            <a:prstGeom prst="line">
                              <a:avLst/>
                            </a:prstGeom>
                            <a:solidFill>
                              <a:srgbClr val="FFFFFF"/>
                            </a:solidFill>
                            <a:ln w="9525" cmpd="sng">
                              <a:solidFill>
                                <a:srgbClr val="000000"/>
                              </a:solidFill>
                              <a:headEnd type="none"/>
                              <a:tailEnd type="none"/>
                            </a:ln>
                          </xdr:spPr>
                          <xdr:txBody>
                            <a:bodyPr vertOverflow="clip" wrap="square" lIns="91440" tIns="45720" rIns="91440" bIns="45720"/>
                            <a:p>
                              <a:pPr algn="l">
                                <a:defRPr/>
                              </a:pPr>
                              <a:r>
                                <a:rPr lang="en-US" cap="none" u="none" baseline="0">
                                  <a:latin typeface="Arial"/>
                                  <a:ea typeface="Arial"/>
                                  <a:cs typeface="Arial"/>
                                </a:rPr>
                                <a:t/>
                              </a:r>
                            </a:p>
                          </xdr:txBody>
                        </xdr:sp>
                      </xdr:grpSp>
                    </xdr:grpSp>
                    <xdr:grpSp>
                      <xdr:nvGrpSpPr>
                        <xdr:cNvPr id="41" name="Group 36"/>
                        <xdr:cNvGrpSpPr>
                          <a:grpSpLocks/>
                        </xdr:cNvGrpSpPr>
                      </xdr:nvGrpSpPr>
                      <xdr:grpSpPr>
                        <a:xfrm>
                          <a:off x="495" y="10649"/>
                          <a:ext cx="19505" cy="7993"/>
                          <a:chOff x="0" y="0"/>
                          <a:chExt cx="20000" cy="19680"/>
                        </a:xfrm>
                        <a:solidFill>
                          <a:srgbClr val="FFFFFF"/>
                        </a:solidFill>
                      </xdr:grpSpPr>
                      <xdr:grpSp>
                        <xdr:nvGrpSpPr>
                          <xdr:cNvPr id="42" name="Group 37"/>
                          <xdr:cNvGrpSpPr>
                            <a:grpSpLocks/>
                          </xdr:cNvGrpSpPr>
                        </xdr:nvGrpSpPr>
                        <xdr:grpSpPr>
                          <a:xfrm>
                            <a:off x="0" y="0"/>
                            <a:ext cx="19660" cy="6593"/>
                            <a:chOff x="0" y="68"/>
                            <a:chExt cx="20000" cy="19776"/>
                          </a:xfrm>
                          <a:solidFill>
                            <a:srgbClr val="FFFFFF"/>
                          </a:solidFill>
                        </xdr:grpSpPr>
                        <xdr:sp>
                          <xdr:nvSpPr>
                            <xdr:cNvPr id="43" name="AutoShape 38"/>
                            <xdr:cNvSpPr>
                              <a:spLocks/>
                            </xdr:cNvSpPr>
                          </xdr:nvSpPr>
                          <xdr:spPr>
                            <a:xfrm>
                              <a:off x="0" y="68"/>
                              <a:ext cx="19830" cy="94"/>
                            </a:xfrm>
                            <a:prstGeom prst="line">
                              <a:avLst/>
                            </a:prstGeom>
                            <a:solidFill>
                              <a:srgbClr val="FFFFFF"/>
                            </a:solidFill>
                            <a:ln w="9525" cmpd="sng">
                              <a:solidFill>
                                <a:srgbClr val="000000"/>
                              </a:solidFill>
                              <a:headEnd type="none"/>
                              <a:tailEnd type="none"/>
                            </a:ln>
                          </xdr:spPr>
                          <xdr:txBody>
                            <a:bodyPr vertOverflow="clip" wrap="square" lIns="91440" tIns="45720" rIns="91440" bIns="45720"/>
                            <a:p>
                              <a:pPr algn="l">
                                <a:defRPr/>
                              </a:pPr>
                              <a:r>
                                <a:rPr lang="en-US" cap="none" u="none" baseline="0">
                                  <a:latin typeface="Arial"/>
                                  <a:ea typeface="Arial"/>
                                  <a:cs typeface="Arial"/>
                                </a:rPr>
                                <a:t/>
                              </a:r>
                            </a:p>
                          </xdr:txBody>
                        </xdr:sp>
                        <xdr:sp>
                          <xdr:nvSpPr>
                            <xdr:cNvPr id="44" name="AutoShape 39"/>
                            <xdr:cNvSpPr>
                              <a:spLocks/>
                            </xdr:cNvSpPr>
                          </xdr:nvSpPr>
                          <xdr:spPr>
                            <a:xfrm>
                              <a:off x="170" y="19651"/>
                              <a:ext cx="19830" cy="193"/>
                            </a:xfrm>
                            <a:prstGeom prst="line">
                              <a:avLst/>
                            </a:prstGeom>
                            <a:solidFill>
                              <a:srgbClr val="FFFFFF"/>
                            </a:solidFill>
                            <a:ln w="9525" cmpd="sng">
                              <a:solidFill>
                                <a:srgbClr val="000000"/>
                              </a:solidFill>
                              <a:headEnd type="none"/>
                              <a:tailEnd type="none"/>
                            </a:ln>
                          </xdr:spPr>
                          <xdr:txBody>
                            <a:bodyPr vertOverflow="clip" wrap="square" lIns="91440" tIns="45720" rIns="91440" bIns="45720"/>
                            <a:p>
                              <a:pPr algn="l">
                                <a:defRPr/>
                              </a:pPr>
                              <a:r>
                                <a:rPr lang="en-US" cap="none" u="none" baseline="0">
                                  <a:latin typeface="Arial"/>
                                  <a:ea typeface="Arial"/>
                                  <a:cs typeface="Arial"/>
                                </a:rPr>
                                <a:t/>
                              </a:r>
                            </a:p>
                          </xdr:txBody>
                        </xdr:sp>
                      </xdr:grpSp>
                      <xdr:grpSp>
                        <xdr:nvGrpSpPr>
                          <xdr:cNvPr id="45" name="Group 40"/>
                          <xdr:cNvGrpSpPr>
                            <a:grpSpLocks/>
                          </xdr:cNvGrpSpPr>
                        </xdr:nvGrpSpPr>
                        <xdr:grpSpPr>
                          <a:xfrm>
                            <a:off x="340" y="13087"/>
                            <a:ext cx="19660" cy="6593"/>
                            <a:chOff x="0" y="0"/>
                            <a:chExt cx="20000" cy="19982"/>
                          </a:xfrm>
                          <a:solidFill>
                            <a:srgbClr val="FFFFFF"/>
                          </a:solidFill>
                        </xdr:grpSpPr>
                        <xdr:sp>
                          <xdr:nvSpPr>
                            <xdr:cNvPr id="46" name="AutoShape 41"/>
                            <xdr:cNvSpPr>
                              <a:spLocks/>
                            </xdr:cNvSpPr>
                          </xdr:nvSpPr>
                          <xdr:spPr>
                            <a:xfrm>
                              <a:off x="0" y="0"/>
                              <a:ext cx="19830" cy="95"/>
                            </a:xfrm>
                            <a:prstGeom prst="line">
                              <a:avLst/>
                            </a:prstGeom>
                            <a:solidFill>
                              <a:srgbClr val="FFFFFF"/>
                            </a:solidFill>
                            <a:ln w="9525" cmpd="sng">
                              <a:solidFill>
                                <a:srgbClr val="000000"/>
                              </a:solidFill>
                              <a:headEnd type="none"/>
                              <a:tailEnd type="none"/>
                            </a:ln>
                          </xdr:spPr>
                          <xdr:txBody>
                            <a:bodyPr vertOverflow="clip" wrap="square" lIns="91440" tIns="45720" rIns="91440" bIns="45720"/>
                            <a:p>
                              <a:pPr algn="l">
                                <a:defRPr/>
                              </a:pPr>
                              <a:r>
                                <a:rPr lang="en-US" cap="none" u="none" baseline="0">
                                  <a:latin typeface="Arial"/>
                                  <a:ea typeface="Arial"/>
                                  <a:cs typeface="Arial"/>
                                </a:rPr>
                                <a:t/>
                              </a:r>
                            </a:p>
                          </xdr:txBody>
                        </xdr:sp>
                        <xdr:sp>
                          <xdr:nvSpPr>
                            <xdr:cNvPr id="47" name="AutoShape 42"/>
                            <xdr:cNvSpPr>
                              <a:spLocks/>
                            </xdr:cNvSpPr>
                          </xdr:nvSpPr>
                          <xdr:spPr>
                            <a:xfrm>
                              <a:off x="175" y="19787"/>
                              <a:ext cx="19825" cy="195"/>
                            </a:xfrm>
                            <a:prstGeom prst="line">
                              <a:avLst/>
                            </a:prstGeom>
                            <a:solidFill>
                              <a:srgbClr val="FFFFFF"/>
                            </a:solidFill>
                            <a:ln w="9525" cmpd="sng">
                              <a:solidFill>
                                <a:srgbClr val="000000"/>
                              </a:solidFill>
                              <a:headEnd type="none"/>
                              <a:tailEnd type="none"/>
                            </a:ln>
                          </xdr:spPr>
                          <xdr:txBody>
                            <a:bodyPr vertOverflow="clip" wrap="square" lIns="91440" tIns="45720" rIns="91440" bIns="45720"/>
                            <a:p>
                              <a:pPr algn="l">
                                <a:defRPr/>
                              </a:pPr>
                              <a:r>
                                <a:rPr lang="en-US" cap="none" u="none" baseline="0">
                                  <a:latin typeface="Arial"/>
                                  <a:ea typeface="Arial"/>
                                  <a:cs typeface="Arial"/>
                                </a:rPr>
                                <a:t/>
                              </a:r>
                            </a:p>
                          </xdr:txBody>
                        </xdr:sp>
                      </xdr:grpSp>
                    </xdr:grpSp>
                  </xdr:grpSp>
                  <xdr:grpSp>
                    <xdr:nvGrpSpPr>
                      <xdr:cNvPr id="48" name="Group 43"/>
                      <xdr:cNvGrpSpPr>
                        <a:grpSpLocks/>
                      </xdr:cNvGrpSpPr>
                    </xdr:nvGrpSpPr>
                    <xdr:grpSpPr>
                      <a:xfrm>
                        <a:off x="640" y="9824"/>
                        <a:ext cx="19360" cy="8598"/>
                        <a:chOff x="0" y="0"/>
                        <a:chExt cx="20000" cy="20067"/>
                      </a:xfrm>
                      <a:solidFill>
                        <a:srgbClr val="FFFFFF"/>
                      </a:solidFill>
                    </xdr:grpSpPr>
                    <xdr:grpSp>
                      <xdr:nvGrpSpPr>
                        <xdr:cNvPr id="49" name="Group 44"/>
                        <xdr:cNvGrpSpPr>
                          <a:grpSpLocks/>
                        </xdr:cNvGrpSpPr>
                      </xdr:nvGrpSpPr>
                      <xdr:grpSpPr>
                        <a:xfrm>
                          <a:off x="0" y="0"/>
                          <a:ext cx="19505" cy="8609"/>
                          <a:chOff x="0" y="0"/>
                          <a:chExt cx="20000" cy="19988"/>
                        </a:xfrm>
                        <a:solidFill>
                          <a:srgbClr val="FFFFFF"/>
                        </a:solidFill>
                      </xdr:grpSpPr>
                      <xdr:grpSp>
                        <xdr:nvGrpSpPr>
                          <xdr:cNvPr id="50" name="Group 45"/>
                          <xdr:cNvGrpSpPr>
                            <a:grpSpLocks/>
                          </xdr:cNvGrpSpPr>
                        </xdr:nvGrpSpPr>
                        <xdr:grpSpPr>
                          <a:xfrm>
                            <a:off x="0" y="0"/>
                            <a:ext cx="19660" cy="6696"/>
                            <a:chOff x="0" y="0"/>
                            <a:chExt cx="20000" cy="19982"/>
                          </a:xfrm>
                          <a:solidFill>
                            <a:srgbClr val="FFFFFF"/>
                          </a:solidFill>
                        </xdr:grpSpPr>
                        <xdr:sp>
                          <xdr:nvSpPr>
                            <xdr:cNvPr id="51" name="AutoShape 46"/>
                            <xdr:cNvSpPr>
                              <a:spLocks/>
                            </xdr:cNvSpPr>
                          </xdr:nvSpPr>
                          <xdr:spPr>
                            <a:xfrm>
                              <a:off x="0" y="0"/>
                              <a:ext cx="19830" cy="195"/>
                            </a:xfrm>
                            <a:prstGeom prst="line">
                              <a:avLst/>
                            </a:prstGeom>
                            <a:solidFill>
                              <a:srgbClr val="FFFFFF"/>
                            </a:solidFill>
                            <a:ln w="9525" cmpd="sng">
                              <a:solidFill>
                                <a:srgbClr val="000000"/>
                              </a:solidFill>
                              <a:headEnd type="none"/>
                              <a:tailEnd type="none"/>
                            </a:ln>
                          </xdr:spPr>
                          <xdr:txBody>
                            <a:bodyPr vertOverflow="clip" wrap="square" lIns="91440" tIns="45720" rIns="91440" bIns="45720"/>
                            <a:p>
                              <a:pPr algn="l">
                                <a:defRPr/>
                              </a:pPr>
                              <a:r>
                                <a:rPr lang="en-US" cap="none" u="none" baseline="0">
                                  <a:latin typeface="Arial"/>
                                  <a:ea typeface="Arial"/>
                                  <a:cs typeface="Arial"/>
                                </a:rPr>
                                <a:t/>
                              </a:r>
                            </a:p>
                          </xdr:txBody>
                        </xdr:sp>
                        <xdr:sp>
                          <xdr:nvSpPr>
                            <xdr:cNvPr id="52" name="AutoShape 47"/>
                            <xdr:cNvSpPr>
                              <a:spLocks/>
                            </xdr:cNvSpPr>
                          </xdr:nvSpPr>
                          <xdr:spPr>
                            <a:xfrm>
                              <a:off x="170" y="19887"/>
                              <a:ext cx="19830" cy="95"/>
                            </a:xfrm>
                            <a:prstGeom prst="line">
                              <a:avLst/>
                            </a:prstGeom>
                            <a:solidFill>
                              <a:srgbClr val="FFFFFF"/>
                            </a:solidFill>
                            <a:ln w="9525" cmpd="sng">
                              <a:solidFill>
                                <a:srgbClr val="000000"/>
                              </a:solidFill>
                              <a:headEnd type="none"/>
                              <a:tailEnd type="none"/>
                            </a:ln>
                          </xdr:spPr>
                          <xdr:txBody>
                            <a:bodyPr vertOverflow="clip" wrap="square" lIns="91440" tIns="45720" rIns="91440" bIns="45720"/>
                            <a:p>
                              <a:pPr algn="l">
                                <a:defRPr/>
                              </a:pPr>
                              <a:r>
                                <a:rPr lang="en-US" cap="none" u="none" baseline="0">
                                  <a:latin typeface="Arial"/>
                                  <a:ea typeface="Arial"/>
                                  <a:cs typeface="Arial"/>
                                </a:rPr>
                                <a:t/>
                              </a:r>
                            </a:p>
                          </xdr:txBody>
                        </xdr:sp>
                      </xdr:grpSp>
                      <xdr:grpSp>
                        <xdr:nvGrpSpPr>
                          <xdr:cNvPr id="53" name="Group 48"/>
                          <xdr:cNvGrpSpPr>
                            <a:grpSpLocks/>
                          </xdr:cNvGrpSpPr>
                        </xdr:nvGrpSpPr>
                        <xdr:grpSpPr>
                          <a:xfrm>
                            <a:off x="340" y="13292"/>
                            <a:ext cx="19660" cy="6696"/>
                            <a:chOff x="0" y="0"/>
                            <a:chExt cx="20000" cy="19982"/>
                          </a:xfrm>
                          <a:solidFill>
                            <a:srgbClr val="FFFFFF"/>
                          </a:solidFill>
                        </xdr:grpSpPr>
                        <xdr:sp>
                          <xdr:nvSpPr>
                            <xdr:cNvPr id="54" name="AutoShape 49"/>
                            <xdr:cNvSpPr>
                              <a:spLocks/>
                            </xdr:cNvSpPr>
                          </xdr:nvSpPr>
                          <xdr:spPr>
                            <a:xfrm>
                              <a:off x="0" y="0"/>
                              <a:ext cx="19830" cy="195"/>
                            </a:xfrm>
                            <a:prstGeom prst="line">
                              <a:avLst/>
                            </a:prstGeom>
                            <a:solidFill>
                              <a:srgbClr val="FFFFFF"/>
                            </a:solidFill>
                            <a:ln w="9525" cmpd="sng">
                              <a:solidFill>
                                <a:srgbClr val="000000"/>
                              </a:solidFill>
                              <a:headEnd type="none"/>
                              <a:tailEnd type="none"/>
                            </a:ln>
                          </xdr:spPr>
                          <xdr:txBody>
                            <a:bodyPr vertOverflow="clip" wrap="square" lIns="91440" tIns="45720" rIns="91440" bIns="45720"/>
                            <a:p>
                              <a:pPr algn="l">
                                <a:defRPr/>
                              </a:pPr>
                              <a:r>
                                <a:rPr lang="en-US" cap="none" u="none" baseline="0">
                                  <a:latin typeface="Arial"/>
                                  <a:ea typeface="Arial"/>
                                  <a:cs typeface="Arial"/>
                                </a:rPr>
                                <a:t/>
                              </a:r>
                            </a:p>
                          </xdr:txBody>
                        </xdr:sp>
                        <xdr:sp>
                          <xdr:nvSpPr>
                            <xdr:cNvPr id="55" name="AutoShape 50"/>
                            <xdr:cNvSpPr>
                              <a:spLocks/>
                            </xdr:cNvSpPr>
                          </xdr:nvSpPr>
                          <xdr:spPr>
                            <a:xfrm>
                              <a:off x="175" y="19887"/>
                              <a:ext cx="19825" cy="95"/>
                            </a:xfrm>
                            <a:prstGeom prst="line">
                              <a:avLst/>
                            </a:prstGeom>
                            <a:solidFill>
                              <a:srgbClr val="FFFFFF"/>
                            </a:solidFill>
                            <a:ln w="9525" cmpd="sng">
                              <a:solidFill>
                                <a:srgbClr val="000000"/>
                              </a:solidFill>
                              <a:headEnd type="none"/>
                              <a:tailEnd type="none"/>
                            </a:ln>
                          </xdr:spPr>
                          <xdr:txBody>
                            <a:bodyPr vertOverflow="clip" wrap="square" lIns="91440" tIns="45720" rIns="91440" bIns="45720"/>
                            <a:p>
                              <a:pPr algn="l">
                                <a:defRPr/>
                              </a:pPr>
                              <a:r>
                                <a:rPr lang="en-US" cap="none" u="none" baseline="0">
                                  <a:latin typeface="Arial"/>
                                  <a:ea typeface="Arial"/>
                                  <a:cs typeface="Arial"/>
                                </a:rPr>
                                <a:t/>
                              </a:r>
                            </a:p>
                          </xdr:txBody>
                        </xdr:sp>
                      </xdr:grpSp>
                    </xdr:grpSp>
                    <xdr:grpSp>
                      <xdr:nvGrpSpPr>
                        <xdr:cNvPr id="56" name="Group 51"/>
                        <xdr:cNvGrpSpPr>
                          <a:grpSpLocks/>
                        </xdr:cNvGrpSpPr>
                      </xdr:nvGrpSpPr>
                      <xdr:grpSpPr>
                        <a:xfrm>
                          <a:off x="495" y="11443"/>
                          <a:ext cx="19505" cy="8624"/>
                          <a:chOff x="0" y="-21"/>
                          <a:chExt cx="20000" cy="20021"/>
                        </a:xfrm>
                        <a:solidFill>
                          <a:srgbClr val="FFFFFF"/>
                        </a:solidFill>
                      </xdr:grpSpPr>
                      <xdr:grpSp>
                        <xdr:nvGrpSpPr>
                          <xdr:cNvPr id="57" name="Group 52"/>
                          <xdr:cNvGrpSpPr>
                            <a:grpSpLocks/>
                          </xdr:cNvGrpSpPr>
                        </xdr:nvGrpSpPr>
                        <xdr:grpSpPr>
                          <a:xfrm>
                            <a:off x="0" y="-21"/>
                            <a:ext cx="19660" cy="6727"/>
                            <a:chOff x="0" y="0"/>
                            <a:chExt cx="20000" cy="19977"/>
                          </a:xfrm>
                          <a:solidFill>
                            <a:srgbClr val="FFFFFF"/>
                          </a:solidFill>
                        </xdr:grpSpPr>
                        <xdr:sp>
                          <xdr:nvSpPr>
                            <xdr:cNvPr id="58" name="AutoShape 53"/>
                            <xdr:cNvSpPr>
                              <a:spLocks/>
                            </xdr:cNvSpPr>
                          </xdr:nvSpPr>
                          <xdr:spPr>
                            <a:xfrm>
                              <a:off x="0" y="0"/>
                              <a:ext cx="19830" cy="195"/>
                            </a:xfrm>
                            <a:prstGeom prst="line">
                              <a:avLst/>
                            </a:prstGeom>
                            <a:solidFill>
                              <a:srgbClr val="FFFFFF"/>
                            </a:solidFill>
                            <a:ln w="9525" cmpd="sng">
                              <a:solidFill>
                                <a:srgbClr val="000000"/>
                              </a:solidFill>
                              <a:headEnd type="none"/>
                              <a:tailEnd type="none"/>
                            </a:ln>
                          </xdr:spPr>
                          <xdr:txBody>
                            <a:bodyPr vertOverflow="clip" wrap="square" lIns="91440" tIns="45720" rIns="91440" bIns="45720"/>
                            <a:p>
                              <a:pPr algn="l">
                                <a:defRPr/>
                              </a:pPr>
                              <a:r>
                                <a:rPr lang="en-US" cap="none" u="none" baseline="0">
                                  <a:latin typeface="Arial"/>
                                  <a:ea typeface="Arial"/>
                                  <a:cs typeface="Arial"/>
                                </a:rPr>
                                <a:t/>
                              </a:r>
                            </a:p>
                          </xdr:txBody>
                        </xdr:sp>
                        <xdr:sp>
                          <xdr:nvSpPr>
                            <xdr:cNvPr id="59" name="AutoShape 54"/>
                            <xdr:cNvSpPr>
                              <a:spLocks/>
                            </xdr:cNvSpPr>
                          </xdr:nvSpPr>
                          <xdr:spPr>
                            <a:xfrm>
                              <a:off x="170" y="19782"/>
                              <a:ext cx="19830" cy="195"/>
                            </a:xfrm>
                            <a:prstGeom prst="line">
                              <a:avLst/>
                            </a:prstGeom>
                            <a:solidFill>
                              <a:srgbClr val="FFFFFF"/>
                            </a:solidFill>
                            <a:ln w="9525" cmpd="sng">
                              <a:solidFill>
                                <a:srgbClr val="000000"/>
                              </a:solidFill>
                              <a:headEnd type="none"/>
                              <a:tailEnd type="none"/>
                            </a:ln>
                          </xdr:spPr>
                          <xdr:txBody>
                            <a:bodyPr vertOverflow="clip" wrap="square" lIns="91440" tIns="45720" rIns="91440" bIns="45720"/>
                            <a:p>
                              <a:pPr algn="l">
                                <a:defRPr/>
                              </a:pPr>
                              <a:r>
                                <a:rPr lang="en-US" cap="none" u="none" baseline="0">
                                  <a:latin typeface="Arial"/>
                                  <a:ea typeface="Arial"/>
                                  <a:cs typeface="Arial"/>
                                </a:rPr>
                                <a:t/>
                              </a:r>
                            </a:p>
                          </xdr:txBody>
                        </xdr:sp>
                      </xdr:grpSp>
                      <xdr:grpSp>
                        <xdr:nvGrpSpPr>
                          <xdr:cNvPr id="60" name="Group 55"/>
                          <xdr:cNvGrpSpPr>
                            <a:grpSpLocks/>
                          </xdr:cNvGrpSpPr>
                        </xdr:nvGrpSpPr>
                        <xdr:grpSpPr>
                          <a:xfrm>
                            <a:off x="340" y="13303"/>
                            <a:ext cx="19660" cy="6697"/>
                            <a:chOff x="0" y="0"/>
                            <a:chExt cx="20000" cy="20085"/>
                          </a:xfrm>
                          <a:solidFill>
                            <a:srgbClr val="FFFFFF"/>
                          </a:solidFill>
                        </xdr:grpSpPr>
                        <xdr:sp>
                          <xdr:nvSpPr>
                            <xdr:cNvPr id="61" name="AutoShape 56"/>
                            <xdr:cNvSpPr>
                              <a:spLocks/>
                            </xdr:cNvSpPr>
                          </xdr:nvSpPr>
                          <xdr:spPr>
                            <a:xfrm>
                              <a:off x="0" y="0"/>
                              <a:ext cx="19830" cy="95"/>
                            </a:xfrm>
                            <a:prstGeom prst="line">
                              <a:avLst/>
                            </a:prstGeom>
                            <a:solidFill>
                              <a:srgbClr val="FFFFFF"/>
                            </a:solidFill>
                            <a:ln w="9525" cmpd="sng">
                              <a:solidFill>
                                <a:srgbClr val="000000"/>
                              </a:solidFill>
                              <a:headEnd type="none"/>
                              <a:tailEnd type="none"/>
                            </a:ln>
                          </xdr:spPr>
                          <xdr:txBody>
                            <a:bodyPr vertOverflow="clip" wrap="square" lIns="91440" tIns="45720" rIns="91440" bIns="45720"/>
                            <a:p>
                              <a:pPr algn="l">
                                <a:defRPr/>
                              </a:pPr>
                              <a:r>
                                <a:rPr lang="en-US" cap="none" u="none" baseline="0">
                                  <a:latin typeface="Arial"/>
                                  <a:ea typeface="Arial"/>
                                  <a:cs typeface="Arial"/>
                                </a:rPr>
                                <a:t/>
                              </a:r>
                            </a:p>
                          </xdr:txBody>
                        </xdr:sp>
                        <xdr:sp>
                          <xdr:nvSpPr>
                            <xdr:cNvPr id="62" name="AutoShape 57"/>
                            <xdr:cNvSpPr>
                              <a:spLocks/>
                            </xdr:cNvSpPr>
                          </xdr:nvSpPr>
                          <xdr:spPr>
                            <a:xfrm>
                              <a:off x="175" y="19889"/>
                              <a:ext cx="19825" cy="196"/>
                            </a:xfrm>
                            <a:prstGeom prst="line">
                              <a:avLst/>
                            </a:prstGeom>
                            <a:solidFill>
                              <a:srgbClr val="FFFFFF"/>
                            </a:solidFill>
                            <a:ln w="9525" cmpd="sng">
                              <a:solidFill>
                                <a:srgbClr val="000000"/>
                              </a:solidFill>
                              <a:headEnd type="none"/>
                              <a:tailEnd type="none"/>
                            </a:ln>
                          </xdr:spPr>
                          <xdr:txBody>
                            <a:bodyPr vertOverflow="clip" wrap="square" lIns="91440" tIns="45720" rIns="91440" bIns="45720"/>
                            <a:p>
                              <a:pPr algn="l">
                                <a:defRPr/>
                              </a:pPr>
                              <a:r>
                                <a:rPr lang="en-US" cap="none" u="none" baseline="0">
                                  <a:latin typeface="Arial"/>
                                  <a:ea typeface="Arial"/>
                                  <a:cs typeface="Arial"/>
                                </a:rPr>
                                <a:t/>
                              </a:r>
                            </a:p>
                          </xdr:txBody>
                        </xdr:sp>
                      </xdr:grpSp>
                    </xdr:grpSp>
                  </xdr:grpSp>
                </xdr:grpSp>
                <xdr:grpSp>
                  <xdr:nvGrpSpPr>
                    <xdr:cNvPr id="63" name="Group 58"/>
                    <xdr:cNvGrpSpPr>
                      <a:grpSpLocks/>
                    </xdr:cNvGrpSpPr>
                  </xdr:nvGrpSpPr>
                  <xdr:grpSpPr>
                    <a:xfrm>
                      <a:off x="770" y="9822"/>
                      <a:ext cx="19230" cy="9213"/>
                      <a:chOff x="0" y="4"/>
                      <a:chExt cx="20000" cy="21497"/>
                    </a:xfrm>
                    <a:solidFill>
                      <a:srgbClr val="FFFFFF"/>
                    </a:solidFill>
                  </xdr:grpSpPr>
                  <xdr:grpSp>
                    <xdr:nvGrpSpPr>
                      <xdr:cNvPr id="64" name="Group 59"/>
                      <xdr:cNvGrpSpPr>
                        <a:grpSpLocks/>
                      </xdr:cNvGrpSpPr>
                    </xdr:nvGrpSpPr>
                    <xdr:grpSpPr>
                      <a:xfrm>
                        <a:off x="0" y="4"/>
                        <a:ext cx="19360" cy="10034"/>
                        <a:chOff x="0" y="9"/>
                        <a:chExt cx="20000" cy="21499"/>
                      </a:xfrm>
                      <a:solidFill>
                        <a:srgbClr val="FFFFFF"/>
                      </a:solidFill>
                    </xdr:grpSpPr>
                    <xdr:grpSp>
                      <xdr:nvGrpSpPr>
                        <xdr:cNvPr id="65" name="Group 60"/>
                        <xdr:cNvGrpSpPr>
                          <a:grpSpLocks/>
                        </xdr:cNvGrpSpPr>
                      </xdr:nvGrpSpPr>
                      <xdr:grpSpPr>
                        <a:xfrm>
                          <a:off x="0" y="9"/>
                          <a:ext cx="19505" cy="9223"/>
                          <a:chOff x="0" y="21"/>
                          <a:chExt cx="20000" cy="21525"/>
                        </a:xfrm>
                        <a:solidFill>
                          <a:srgbClr val="FFFFFF"/>
                        </a:solidFill>
                      </xdr:grpSpPr>
                      <xdr:grpSp>
                        <xdr:nvGrpSpPr>
                          <xdr:cNvPr id="66" name="Group 61"/>
                          <xdr:cNvGrpSpPr>
                            <a:grpSpLocks/>
                          </xdr:cNvGrpSpPr>
                        </xdr:nvGrpSpPr>
                        <xdr:grpSpPr>
                          <a:xfrm>
                            <a:off x="0" y="21"/>
                            <a:ext cx="19660" cy="7211"/>
                            <a:chOff x="0" y="63"/>
                            <a:chExt cx="20000" cy="21424"/>
                          </a:xfrm>
                          <a:solidFill>
                            <a:srgbClr val="FFFFFF"/>
                          </a:solidFill>
                        </xdr:grpSpPr>
                        <xdr:sp>
                          <xdr:nvSpPr>
                            <xdr:cNvPr id="67" name="AutoShape 62"/>
                            <xdr:cNvSpPr>
                              <a:spLocks/>
                            </xdr:cNvSpPr>
                          </xdr:nvSpPr>
                          <xdr:spPr>
                            <a:xfrm>
                              <a:off x="0" y="63"/>
                              <a:ext cx="19830" cy="102"/>
                            </a:xfrm>
                            <a:prstGeom prst="line">
                              <a:avLst/>
                            </a:prstGeom>
                            <a:solidFill>
                              <a:srgbClr val="FFFFFF"/>
                            </a:solidFill>
                            <a:ln w="9525" cmpd="sng">
                              <a:solidFill>
                                <a:srgbClr val="000000"/>
                              </a:solidFill>
                              <a:headEnd type="none"/>
                              <a:tailEnd type="none"/>
                            </a:ln>
                          </xdr:spPr>
                          <xdr:txBody>
                            <a:bodyPr vertOverflow="clip" wrap="square" lIns="91440" tIns="45720" rIns="91440" bIns="45720"/>
                            <a:p>
                              <a:pPr algn="l">
                                <a:defRPr/>
                              </a:pPr>
                              <a:r>
                                <a:rPr lang="en-US" cap="none" u="none" baseline="0">
                                  <a:latin typeface="Arial"/>
                                  <a:ea typeface="Arial"/>
                                  <a:cs typeface="Arial"/>
                                </a:rPr>
                                <a:t/>
                              </a:r>
                            </a:p>
                          </xdr:txBody>
                        </xdr:sp>
                        <xdr:sp>
                          <xdr:nvSpPr>
                            <xdr:cNvPr id="68" name="AutoShape 63"/>
                            <xdr:cNvSpPr>
                              <a:spLocks/>
                            </xdr:cNvSpPr>
                          </xdr:nvSpPr>
                          <xdr:spPr>
                            <a:xfrm>
                              <a:off x="170" y="21278"/>
                              <a:ext cx="19830" cy="209"/>
                            </a:xfrm>
                            <a:prstGeom prst="line">
                              <a:avLst/>
                            </a:prstGeom>
                            <a:solidFill>
                              <a:srgbClr val="FFFFFF"/>
                            </a:solidFill>
                            <a:ln w="9525" cmpd="sng">
                              <a:solidFill>
                                <a:srgbClr val="000000"/>
                              </a:solidFill>
                              <a:headEnd type="none"/>
                              <a:tailEnd type="none"/>
                            </a:ln>
                          </xdr:spPr>
                          <xdr:txBody>
                            <a:bodyPr vertOverflow="clip" wrap="square" lIns="91440" tIns="45720" rIns="91440" bIns="45720"/>
                            <a:p>
                              <a:pPr algn="l">
                                <a:defRPr/>
                              </a:pPr>
                              <a:r>
                                <a:rPr lang="en-US" cap="none" u="none" baseline="0">
                                  <a:latin typeface="Arial"/>
                                  <a:ea typeface="Arial"/>
                                  <a:cs typeface="Arial"/>
                                </a:rPr>
                                <a:t/>
                              </a:r>
                            </a:p>
                          </xdr:txBody>
                        </xdr:sp>
                      </xdr:grpSp>
                      <xdr:grpSp>
                        <xdr:nvGrpSpPr>
                          <xdr:cNvPr id="69" name="Group 64"/>
                          <xdr:cNvGrpSpPr>
                            <a:grpSpLocks/>
                          </xdr:cNvGrpSpPr>
                        </xdr:nvGrpSpPr>
                        <xdr:grpSpPr>
                          <a:xfrm>
                            <a:off x="340" y="14335"/>
                            <a:ext cx="19660" cy="7211"/>
                            <a:chOff x="0" y="0"/>
                            <a:chExt cx="20000" cy="19982"/>
                          </a:xfrm>
                          <a:solidFill>
                            <a:srgbClr val="FFFFFF"/>
                          </a:solidFill>
                        </xdr:grpSpPr>
                        <xdr:sp>
                          <xdr:nvSpPr>
                            <xdr:cNvPr id="70" name="AutoShape 65"/>
                            <xdr:cNvSpPr>
                              <a:spLocks/>
                            </xdr:cNvSpPr>
                          </xdr:nvSpPr>
                          <xdr:spPr>
                            <a:xfrm>
                              <a:off x="0" y="0"/>
                              <a:ext cx="19830" cy="195"/>
                            </a:xfrm>
                            <a:prstGeom prst="line">
                              <a:avLst/>
                            </a:prstGeom>
                            <a:solidFill>
                              <a:srgbClr val="FFFFFF"/>
                            </a:solidFill>
                            <a:ln w="9525" cmpd="sng">
                              <a:solidFill>
                                <a:srgbClr val="000000"/>
                              </a:solidFill>
                              <a:headEnd type="none"/>
                              <a:tailEnd type="none"/>
                            </a:ln>
                          </xdr:spPr>
                          <xdr:txBody>
                            <a:bodyPr vertOverflow="clip" wrap="square" lIns="91440" tIns="45720" rIns="91440" bIns="45720"/>
                            <a:p>
                              <a:pPr algn="l">
                                <a:defRPr/>
                              </a:pPr>
                              <a:r>
                                <a:rPr lang="en-US" cap="none" u="none" baseline="0">
                                  <a:latin typeface="Arial"/>
                                  <a:ea typeface="Arial"/>
                                  <a:cs typeface="Arial"/>
                                </a:rPr>
                                <a:t/>
                              </a:r>
                            </a:p>
                          </xdr:txBody>
                        </xdr:sp>
                        <xdr:sp>
                          <xdr:nvSpPr>
                            <xdr:cNvPr id="71" name="AutoShape 66"/>
                            <xdr:cNvSpPr>
                              <a:spLocks/>
                            </xdr:cNvSpPr>
                          </xdr:nvSpPr>
                          <xdr:spPr>
                            <a:xfrm>
                              <a:off x="175" y="19887"/>
                              <a:ext cx="19825" cy="95"/>
                            </a:xfrm>
                            <a:prstGeom prst="line">
                              <a:avLst/>
                            </a:prstGeom>
                            <a:solidFill>
                              <a:srgbClr val="FFFFFF"/>
                            </a:solidFill>
                            <a:ln w="9525" cmpd="sng">
                              <a:solidFill>
                                <a:srgbClr val="000000"/>
                              </a:solidFill>
                              <a:headEnd type="none"/>
                              <a:tailEnd type="none"/>
                            </a:ln>
                          </xdr:spPr>
                          <xdr:txBody>
                            <a:bodyPr vertOverflow="clip" wrap="square" lIns="91440" tIns="45720" rIns="91440" bIns="45720"/>
                            <a:p>
                              <a:pPr algn="l">
                                <a:defRPr/>
                              </a:pPr>
                              <a:r>
                                <a:rPr lang="en-US" cap="none" u="none" baseline="0">
                                  <a:latin typeface="Arial"/>
                                  <a:ea typeface="Arial"/>
                                  <a:cs typeface="Arial"/>
                                </a:rPr>
                                <a:t/>
                              </a:r>
                            </a:p>
                          </xdr:txBody>
                        </xdr:sp>
                      </xdr:grpSp>
                    </xdr:grpSp>
                    <xdr:grpSp>
                      <xdr:nvGrpSpPr>
                        <xdr:cNvPr id="72" name="Group 67"/>
                        <xdr:cNvGrpSpPr>
                          <a:grpSpLocks/>
                        </xdr:cNvGrpSpPr>
                      </xdr:nvGrpSpPr>
                      <xdr:grpSpPr>
                        <a:xfrm>
                          <a:off x="495" y="12269"/>
                          <a:ext cx="19505" cy="9239"/>
                          <a:chOff x="0" y="-24"/>
                          <a:chExt cx="20000" cy="20021"/>
                        </a:xfrm>
                        <a:solidFill>
                          <a:srgbClr val="FFFFFF"/>
                        </a:solidFill>
                      </xdr:grpSpPr>
                      <xdr:grpSp>
                        <xdr:nvGrpSpPr>
                          <xdr:cNvPr id="73" name="Group 68"/>
                          <xdr:cNvGrpSpPr>
                            <a:grpSpLocks/>
                          </xdr:cNvGrpSpPr>
                        </xdr:nvGrpSpPr>
                        <xdr:grpSpPr>
                          <a:xfrm>
                            <a:off x="0" y="-24"/>
                            <a:ext cx="19660" cy="6727"/>
                            <a:chOff x="0" y="0"/>
                            <a:chExt cx="20000" cy="19977"/>
                          </a:xfrm>
                          <a:solidFill>
                            <a:srgbClr val="FFFFFF"/>
                          </a:solidFill>
                        </xdr:grpSpPr>
                        <xdr:sp>
                          <xdr:nvSpPr>
                            <xdr:cNvPr id="74" name="AutoShape 69"/>
                            <xdr:cNvSpPr>
                              <a:spLocks/>
                            </xdr:cNvSpPr>
                          </xdr:nvSpPr>
                          <xdr:spPr>
                            <a:xfrm>
                              <a:off x="0" y="0"/>
                              <a:ext cx="19830" cy="195"/>
                            </a:xfrm>
                            <a:prstGeom prst="line">
                              <a:avLst/>
                            </a:prstGeom>
                            <a:solidFill>
                              <a:srgbClr val="FFFFFF"/>
                            </a:solidFill>
                            <a:ln w="9525" cmpd="sng">
                              <a:solidFill>
                                <a:srgbClr val="000000"/>
                              </a:solidFill>
                              <a:headEnd type="none"/>
                              <a:tailEnd type="none"/>
                            </a:ln>
                          </xdr:spPr>
                          <xdr:txBody>
                            <a:bodyPr vertOverflow="clip" wrap="square" lIns="91440" tIns="45720" rIns="91440" bIns="45720"/>
                            <a:p>
                              <a:pPr algn="l">
                                <a:defRPr/>
                              </a:pPr>
                              <a:r>
                                <a:rPr lang="en-US" cap="none" u="none" baseline="0">
                                  <a:latin typeface="Arial"/>
                                  <a:ea typeface="Arial"/>
                                  <a:cs typeface="Arial"/>
                                </a:rPr>
                                <a:t/>
                              </a:r>
                            </a:p>
                          </xdr:txBody>
                        </xdr:sp>
                        <xdr:sp>
                          <xdr:nvSpPr>
                            <xdr:cNvPr id="75" name="AutoShape 70"/>
                            <xdr:cNvSpPr>
                              <a:spLocks/>
                            </xdr:cNvSpPr>
                          </xdr:nvSpPr>
                          <xdr:spPr>
                            <a:xfrm>
                              <a:off x="175" y="19782"/>
                              <a:ext cx="19825" cy="195"/>
                            </a:xfrm>
                            <a:prstGeom prst="line">
                              <a:avLst/>
                            </a:prstGeom>
                            <a:solidFill>
                              <a:srgbClr val="FFFFFF"/>
                            </a:solidFill>
                            <a:ln w="9525" cmpd="sng">
                              <a:solidFill>
                                <a:srgbClr val="000000"/>
                              </a:solidFill>
                              <a:headEnd type="none"/>
                              <a:tailEnd type="none"/>
                            </a:ln>
                          </xdr:spPr>
                          <xdr:txBody>
                            <a:bodyPr vertOverflow="clip" wrap="square" lIns="91440" tIns="45720" rIns="91440" bIns="45720"/>
                            <a:p>
                              <a:pPr algn="l">
                                <a:defRPr/>
                              </a:pPr>
                              <a:r>
                                <a:rPr lang="en-US" cap="none" u="none" baseline="0">
                                  <a:latin typeface="Arial"/>
                                  <a:ea typeface="Arial"/>
                                  <a:cs typeface="Arial"/>
                                </a:rPr>
                                <a:t/>
                              </a:r>
                            </a:p>
                          </xdr:txBody>
                        </xdr:sp>
                      </xdr:grpSp>
                      <xdr:grpSp>
                        <xdr:nvGrpSpPr>
                          <xdr:cNvPr id="76" name="Group 71"/>
                          <xdr:cNvGrpSpPr>
                            <a:grpSpLocks/>
                          </xdr:cNvGrpSpPr>
                        </xdr:nvGrpSpPr>
                        <xdr:grpSpPr>
                          <a:xfrm>
                            <a:off x="340" y="13300"/>
                            <a:ext cx="19660" cy="6697"/>
                            <a:chOff x="0" y="0"/>
                            <a:chExt cx="20000" cy="20085"/>
                          </a:xfrm>
                          <a:solidFill>
                            <a:srgbClr val="FFFFFF"/>
                          </a:solidFill>
                        </xdr:grpSpPr>
                        <xdr:sp>
                          <xdr:nvSpPr>
                            <xdr:cNvPr id="77" name="AutoShape 72"/>
                            <xdr:cNvSpPr>
                              <a:spLocks/>
                            </xdr:cNvSpPr>
                          </xdr:nvSpPr>
                          <xdr:spPr>
                            <a:xfrm>
                              <a:off x="0" y="0"/>
                              <a:ext cx="19830" cy="95"/>
                            </a:xfrm>
                            <a:prstGeom prst="line">
                              <a:avLst/>
                            </a:prstGeom>
                            <a:solidFill>
                              <a:srgbClr val="FFFFFF"/>
                            </a:solidFill>
                            <a:ln w="9525" cmpd="sng">
                              <a:solidFill>
                                <a:srgbClr val="000000"/>
                              </a:solidFill>
                              <a:headEnd type="none"/>
                              <a:tailEnd type="none"/>
                            </a:ln>
                          </xdr:spPr>
                          <xdr:txBody>
                            <a:bodyPr vertOverflow="clip" wrap="square" lIns="91440" tIns="45720" rIns="91440" bIns="45720"/>
                            <a:p>
                              <a:pPr algn="l">
                                <a:defRPr/>
                              </a:pPr>
                              <a:r>
                                <a:rPr lang="en-US" cap="none" u="none" baseline="0">
                                  <a:latin typeface="Arial"/>
                                  <a:ea typeface="Arial"/>
                                  <a:cs typeface="Arial"/>
                                </a:rPr>
                                <a:t/>
                              </a:r>
                            </a:p>
                          </xdr:txBody>
                        </xdr:sp>
                        <xdr:sp>
                          <xdr:nvSpPr>
                            <xdr:cNvPr id="78" name="AutoShape 73"/>
                            <xdr:cNvSpPr>
                              <a:spLocks/>
                            </xdr:cNvSpPr>
                          </xdr:nvSpPr>
                          <xdr:spPr>
                            <a:xfrm>
                              <a:off x="175" y="19889"/>
                              <a:ext cx="19825" cy="196"/>
                            </a:xfrm>
                            <a:prstGeom prst="line">
                              <a:avLst/>
                            </a:prstGeom>
                            <a:solidFill>
                              <a:srgbClr val="FFFFFF"/>
                            </a:solidFill>
                            <a:ln w="9525" cmpd="sng">
                              <a:solidFill>
                                <a:srgbClr val="000000"/>
                              </a:solidFill>
                              <a:headEnd type="none"/>
                              <a:tailEnd type="none"/>
                            </a:ln>
                          </xdr:spPr>
                          <xdr:txBody>
                            <a:bodyPr vertOverflow="clip" wrap="square" lIns="91440" tIns="45720" rIns="91440" bIns="45720"/>
                            <a:p>
                              <a:pPr algn="l">
                                <a:defRPr/>
                              </a:pPr>
                              <a:r>
                                <a:rPr lang="en-US" cap="none" u="none" baseline="0">
                                  <a:latin typeface="Arial"/>
                                  <a:ea typeface="Arial"/>
                                  <a:cs typeface="Arial"/>
                                </a:rPr>
                                <a:t/>
                              </a:r>
                            </a:p>
                          </xdr:txBody>
                        </xdr:sp>
                      </xdr:grpSp>
                    </xdr:grpSp>
                  </xdr:grpSp>
                  <xdr:grpSp>
                    <xdr:nvGrpSpPr>
                      <xdr:cNvPr id="79" name="Group 74"/>
                      <xdr:cNvGrpSpPr>
                        <a:grpSpLocks/>
                      </xdr:cNvGrpSpPr>
                    </xdr:nvGrpSpPr>
                    <xdr:grpSpPr>
                      <a:xfrm>
                        <a:off x="640" y="11462"/>
                        <a:ext cx="19360" cy="10039"/>
                        <a:chOff x="0" y="10"/>
                        <a:chExt cx="20000" cy="20076"/>
                      </a:xfrm>
                      <a:solidFill>
                        <a:srgbClr val="FFFFFF"/>
                      </a:solidFill>
                    </xdr:grpSpPr>
                    <xdr:grpSp>
                      <xdr:nvGrpSpPr>
                        <xdr:cNvPr id="80" name="Group 75"/>
                        <xdr:cNvGrpSpPr>
                          <a:grpSpLocks/>
                        </xdr:cNvGrpSpPr>
                      </xdr:nvGrpSpPr>
                      <xdr:grpSpPr>
                        <a:xfrm>
                          <a:off x="0" y="10"/>
                          <a:ext cx="19505" cy="8608"/>
                          <a:chOff x="0" y="23"/>
                          <a:chExt cx="20000" cy="20295"/>
                        </a:xfrm>
                        <a:solidFill>
                          <a:srgbClr val="FFFFFF"/>
                        </a:solidFill>
                      </xdr:grpSpPr>
                      <xdr:grpSp>
                        <xdr:nvGrpSpPr>
                          <xdr:cNvPr id="81" name="Group 76"/>
                          <xdr:cNvGrpSpPr>
                            <a:grpSpLocks/>
                          </xdr:cNvGrpSpPr>
                        </xdr:nvGrpSpPr>
                        <xdr:grpSpPr>
                          <a:xfrm>
                            <a:off x="0" y="23"/>
                            <a:ext cx="19660" cy="6799"/>
                            <a:chOff x="0" y="69"/>
                            <a:chExt cx="20000" cy="20188"/>
                          </a:xfrm>
                          <a:solidFill>
                            <a:srgbClr val="FFFFFF"/>
                          </a:solidFill>
                        </xdr:grpSpPr>
                        <xdr:sp>
                          <xdr:nvSpPr>
                            <xdr:cNvPr id="82" name="AutoShape 77"/>
                            <xdr:cNvSpPr>
                              <a:spLocks/>
                            </xdr:cNvSpPr>
                          </xdr:nvSpPr>
                          <xdr:spPr>
                            <a:xfrm>
                              <a:off x="0" y="69"/>
                              <a:ext cx="19830" cy="96"/>
                            </a:xfrm>
                            <a:prstGeom prst="line">
                              <a:avLst/>
                            </a:prstGeom>
                            <a:solidFill>
                              <a:srgbClr val="FFFFFF"/>
                            </a:solidFill>
                            <a:ln w="9525" cmpd="sng">
                              <a:solidFill>
                                <a:srgbClr val="000000"/>
                              </a:solidFill>
                              <a:headEnd type="none"/>
                              <a:tailEnd type="none"/>
                            </a:ln>
                          </xdr:spPr>
                          <xdr:txBody>
                            <a:bodyPr vertOverflow="clip" wrap="square" lIns="91440" tIns="45720" rIns="91440" bIns="45720"/>
                            <a:p>
                              <a:pPr algn="l">
                                <a:defRPr/>
                              </a:pPr>
                              <a:r>
                                <a:rPr lang="en-US" cap="none" u="none" baseline="0">
                                  <a:latin typeface="Arial"/>
                                  <a:ea typeface="Arial"/>
                                  <a:cs typeface="Arial"/>
                                </a:rPr>
                                <a:t/>
                              </a:r>
                            </a:p>
                          </xdr:txBody>
                        </xdr:sp>
                        <xdr:sp>
                          <xdr:nvSpPr>
                            <xdr:cNvPr id="83" name="AutoShape 78"/>
                            <xdr:cNvSpPr>
                              <a:spLocks/>
                            </xdr:cNvSpPr>
                          </xdr:nvSpPr>
                          <xdr:spPr>
                            <a:xfrm>
                              <a:off x="170" y="20060"/>
                              <a:ext cx="19830" cy="197"/>
                            </a:xfrm>
                            <a:prstGeom prst="line">
                              <a:avLst/>
                            </a:prstGeom>
                            <a:solidFill>
                              <a:srgbClr val="FFFFFF"/>
                            </a:solidFill>
                            <a:ln w="9525" cmpd="sng">
                              <a:solidFill>
                                <a:srgbClr val="000000"/>
                              </a:solidFill>
                              <a:headEnd type="none"/>
                              <a:tailEnd type="none"/>
                            </a:ln>
                          </xdr:spPr>
                          <xdr:txBody>
                            <a:bodyPr vertOverflow="clip" wrap="square" lIns="91440" tIns="45720" rIns="91440" bIns="45720"/>
                            <a:p>
                              <a:pPr algn="l">
                                <a:defRPr/>
                              </a:pPr>
                              <a:r>
                                <a:rPr lang="en-US" cap="none" u="none" baseline="0">
                                  <a:latin typeface="Arial"/>
                                  <a:ea typeface="Arial"/>
                                  <a:cs typeface="Arial"/>
                                </a:rPr>
                                <a:t/>
                              </a:r>
                            </a:p>
                          </xdr:txBody>
                        </xdr:sp>
                      </xdr:grpSp>
                      <xdr:grpSp>
                        <xdr:nvGrpSpPr>
                          <xdr:cNvPr id="84" name="Group 79"/>
                          <xdr:cNvGrpSpPr>
                            <a:grpSpLocks/>
                          </xdr:cNvGrpSpPr>
                        </xdr:nvGrpSpPr>
                        <xdr:grpSpPr>
                          <a:xfrm>
                            <a:off x="340" y="13519"/>
                            <a:ext cx="19660" cy="6799"/>
                            <a:chOff x="0" y="0"/>
                            <a:chExt cx="20000" cy="19982"/>
                          </a:xfrm>
                          <a:solidFill>
                            <a:srgbClr val="FFFFFF"/>
                          </a:solidFill>
                        </xdr:grpSpPr>
                        <xdr:sp>
                          <xdr:nvSpPr>
                            <xdr:cNvPr id="85" name="AutoShape 80"/>
                            <xdr:cNvSpPr>
                              <a:spLocks/>
                            </xdr:cNvSpPr>
                          </xdr:nvSpPr>
                          <xdr:spPr>
                            <a:xfrm>
                              <a:off x="0" y="0"/>
                              <a:ext cx="19830" cy="195"/>
                            </a:xfrm>
                            <a:prstGeom prst="line">
                              <a:avLst/>
                            </a:prstGeom>
                            <a:solidFill>
                              <a:srgbClr val="FFFFFF"/>
                            </a:solidFill>
                            <a:ln w="9525" cmpd="sng">
                              <a:solidFill>
                                <a:srgbClr val="000000"/>
                              </a:solidFill>
                              <a:headEnd type="none"/>
                              <a:tailEnd type="none"/>
                            </a:ln>
                          </xdr:spPr>
                          <xdr:txBody>
                            <a:bodyPr vertOverflow="clip" wrap="square" lIns="91440" tIns="45720" rIns="91440" bIns="45720"/>
                            <a:p>
                              <a:pPr algn="l">
                                <a:defRPr/>
                              </a:pPr>
                              <a:r>
                                <a:rPr lang="en-US" cap="none" u="none" baseline="0">
                                  <a:latin typeface="Arial"/>
                                  <a:ea typeface="Arial"/>
                                  <a:cs typeface="Arial"/>
                                </a:rPr>
                                <a:t/>
                              </a:r>
                            </a:p>
                          </xdr:txBody>
                        </xdr:sp>
                        <xdr:sp>
                          <xdr:nvSpPr>
                            <xdr:cNvPr id="86" name="AutoShape 81"/>
                            <xdr:cNvSpPr>
                              <a:spLocks/>
                            </xdr:cNvSpPr>
                          </xdr:nvSpPr>
                          <xdr:spPr>
                            <a:xfrm>
                              <a:off x="175" y="19887"/>
                              <a:ext cx="19825" cy="95"/>
                            </a:xfrm>
                            <a:prstGeom prst="line">
                              <a:avLst/>
                            </a:prstGeom>
                            <a:solidFill>
                              <a:srgbClr val="FFFFFF"/>
                            </a:solidFill>
                            <a:ln w="9525" cmpd="sng">
                              <a:solidFill>
                                <a:srgbClr val="000000"/>
                              </a:solidFill>
                              <a:headEnd type="none"/>
                              <a:tailEnd type="none"/>
                            </a:ln>
                          </xdr:spPr>
                          <xdr:txBody>
                            <a:bodyPr vertOverflow="clip" wrap="square" lIns="91440" tIns="45720" rIns="91440" bIns="45720"/>
                            <a:p>
                              <a:pPr algn="l">
                                <a:defRPr/>
                              </a:pPr>
                              <a:r>
                                <a:rPr lang="en-US" cap="none" u="none" baseline="0">
                                  <a:latin typeface="Arial"/>
                                  <a:ea typeface="Arial"/>
                                  <a:cs typeface="Arial"/>
                                </a:rPr>
                                <a:t/>
                              </a:r>
                            </a:p>
                          </xdr:txBody>
                        </xdr:sp>
                      </xdr:grpSp>
                    </xdr:grpSp>
                    <xdr:grpSp>
                      <xdr:nvGrpSpPr>
                        <xdr:cNvPr id="87" name="Group 82"/>
                        <xdr:cNvGrpSpPr>
                          <a:grpSpLocks/>
                        </xdr:cNvGrpSpPr>
                      </xdr:nvGrpSpPr>
                      <xdr:grpSpPr>
                        <a:xfrm>
                          <a:off x="495" y="11473"/>
                          <a:ext cx="19505" cy="8613"/>
                          <a:chOff x="0" y="23"/>
                          <a:chExt cx="20000" cy="19996"/>
                        </a:xfrm>
                        <a:solidFill>
                          <a:srgbClr val="FFFFFF"/>
                        </a:solidFill>
                      </xdr:grpSpPr>
                      <xdr:grpSp>
                        <xdr:nvGrpSpPr>
                          <xdr:cNvPr id="88" name="Group 83"/>
                          <xdr:cNvGrpSpPr>
                            <a:grpSpLocks/>
                          </xdr:cNvGrpSpPr>
                        </xdr:nvGrpSpPr>
                        <xdr:grpSpPr>
                          <a:xfrm>
                            <a:off x="0" y="23"/>
                            <a:ext cx="19660" cy="6694"/>
                            <a:chOff x="0" y="69"/>
                            <a:chExt cx="20000" cy="19879"/>
                          </a:xfrm>
                          <a:solidFill>
                            <a:srgbClr val="FFFFFF"/>
                          </a:solidFill>
                        </xdr:grpSpPr>
                        <xdr:sp>
                          <xdr:nvSpPr>
                            <xdr:cNvPr id="89" name="AutoShape 84"/>
                            <xdr:cNvSpPr>
                              <a:spLocks/>
                            </xdr:cNvSpPr>
                          </xdr:nvSpPr>
                          <xdr:spPr>
                            <a:xfrm>
                              <a:off x="0" y="69"/>
                              <a:ext cx="19830" cy="194"/>
                            </a:xfrm>
                            <a:prstGeom prst="line">
                              <a:avLst/>
                            </a:prstGeom>
                            <a:solidFill>
                              <a:srgbClr val="FFFFFF"/>
                            </a:solidFill>
                            <a:ln w="9525" cmpd="sng">
                              <a:solidFill>
                                <a:srgbClr val="000000"/>
                              </a:solidFill>
                              <a:headEnd type="none"/>
                              <a:tailEnd type="none"/>
                            </a:ln>
                          </xdr:spPr>
                          <xdr:txBody>
                            <a:bodyPr vertOverflow="clip" wrap="square" lIns="91440" tIns="45720" rIns="91440" bIns="45720"/>
                            <a:p>
                              <a:pPr algn="l">
                                <a:defRPr/>
                              </a:pPr>
                              <a:r>
                                <a:rPr lang="en-US" cap="none" u="none" baseline="0">
                                  <a:latin typeface="Arial"/>
                                  <a:ea typeface="Arial"/>
                                  <a:cs typeface="Arial"/>
                                </a:rPr>
                                <a:t/>
                              </a:r>
                            </a:p>
                          </xdr:txBody>
                        </xdr:sp>
                        <xdr:sp>
                          <xdr:nvSpPr>
                            <xdr:cNvPr id="90" name="AutoShape 85"/>
                            <xdr:cNvSpPr>
                              <a:spLocks/>
                            </xdr:cNvSpPr>
                          </xdr:nvSpPr>
                          <xdr:spPr>
                            <a:xfrm>
                              <a:off x="170" y="19854"/>
                              <a:ext cx="19830" cy="94"/>
                            </a:xfrm>
                            <a:prstGeom prst="line">
                              <a:avLst/>
                            </a:prstGeom>
                            <a:solidFill>
                              <a:srgbClr val="FFFFFF"/>
                            </a:solidFill>
                            <a:ln w="9525" cmpd="sng">
                              <a:solidFill>
                                <a:srgbClr val="000000"/>
                              </a:solidFill>
                              <a:headEnd type="none"/>
                              <a:tailEnd type="none"/>
                            </a:ln>
                          </xdr:spPr>
                          <xdr:txBody>
                            <a:bodyPr vertOverflow="clip" wrap="square" lIns="91440" tIns="45720" rIns="91440" bIns="45720"/>
                            <a:p>
                              <a:pPr algn="l">
                                <a:defRPr/>
                              </a:pPr>
                              <a:r>
                                <a:rPr lang="en-US" cap="none" u="none" baseline="0">
                                  <a:latin typeface="Arial"/>
                                  <a:ea typeface="Arial"/>
                                  <a:cs typeface="Arial"/>
                                </a:rPr>
                                <a:t/>
                              </a:r>
                            </a:p>
                          </xdr:txBody>
                        </xdr:sp>
                      </xdr:grpSp>
                      <xdr:grpSp>
                        <xdr:nvGrpSpPr>
                          <xdr:cNvPr id="91" name="Group 86"/>
                          <xdr:cNvGrpSpPr>
                            <a:grpSpLocks/>
                          </xdr:cNvGrpSpPr>
                        </xdr:nvGrpSpPr>
                        <xdr:grpSpPr>
                          <a:xfrm>
                            <a:off x="340" y="13290"/>
                            <a:ext cx="19660" cy="6729"/>
                            <a:chOff x="0" y="-72"/>
                            <a:chExt cx="20000" cy="20078"/>
                          </a:xfrm>
                          <a:solidFill>
                            <a:srgbClr val="FFFFFF"/>
                          </a:solidFill>
                        </xdr:grpSpPr>
                        <xdr:sp>
                          <xdr:nvSpPr>
                            <xdr:cNvPr id="92" name="AutoShape 87"/>
                            <xdr:cNvSpPr>
                              <a:spLocks/>
                            </xdr:cNvSpPr>
                          </xdr:nvSpPr>
                          <xdr:spPr>
                            <a:xfrm>
                              <a:off x="0" y="-72"/>
                              <a:ext cx="19830" cy="196"/>
                            </a:xfrm>
                            <a:prstGeom prst="line">
                              <a:avLst/>
                            </a:prstGeom>
                            <a:solidFill>
                              <a:srgbClr val="FFFFFF"/>
                            </a:solidFill>
                            <a:ln w="9525" cmpd="sng">
                              <a:solidFill>
                                <a:srgbClr val="000000"/>
                              </a:solidFill>
                              <a:headEnd type="none"/>
                              <a:tailEnd type="none"/>
                            </a:ln>
                          </xdr:spPr>
                          <xdr:txBody>
                            <a:bodyPr vertOverflow="clip" wrap="square" lIns="91440" tIns="45720" rIns="91440" bIns="45720"/>
                            <a:p>
                              <a:pPr algn="l">
                                <a:defRPr/>
                              </a:pPr>
                              <a:r>
                                <a:rPr lang="en-US" cap="none" u="none" baseline="0">
                                  <a:latin typeface="Arial"/>
                                  <a:ea typeface="Arial"/>
                                  <a:cs typeface="Arial"/>
                                </a:rPr>
                                <a:t/>
                              </a:r>
                            </a:p>
                          </xdr:txBody>
                        </xdr:sp>
                        <xdr:sp>
                          <xdr:nvSpPr>
                            <xdr:cNvPr id="93" name="AutoShape 88"/>
                            <xdr:cNvSpPr>
                              <a:spLocks/>
                            </xdr:cNvSpPr>
                          </xdr:nvSpPr>
                          <xdr:spPr>
                            <a:xfrm>
                              <a:off x="175" y="19810"/>
                              <a:ext cx="19825" cy="196"/>
                            </a:xfrm>
                            <a:prstGeom prst="line">
                              <a:avLst/>
                            </a:prstGeom>
                            <a:solidFill>
                              <a:srgbClr val="FFFFFF"/>
                            </a:solidFill>
                            <a:ln w="9525" cmpd="sng">
                              <a:solidFill>
                                <a:srgbClr val="000000"/>
                              </a:solidFill>
                              <a:headEnd type="none"/>
                              <a:tailEnd type="none"/>
                            </a:ln>
                          </xdr:spPr>
                          <xdr:txBody>
                            <a:bodyPr vertOverflow="clip" wrap="square" lIns="91440" tIns="45720" rIns="91440" bIns="45720"/>
                            <a:p>
                              <a:pPr algn="l">
                                <a:defRPr/>
                              </a:pPr>
                              <a:r>
                                <a:rPr lang="en-US" cap="none" u="none" baseline="0">
                                  <a:latin typeface="Arial"/>
                                  <a:ea typeface="Arial"/>
                                  <a:cs typeface="Arial"/>
                                </a:rPr>
                                <a:t/>
                              </a:r>
                            </a:p>
                          </xdr:txBody>
                        </xdr:sp>
                      </xdr:grpSp>
                    </xdr:grpSp>
                  </xdr:grpSp>
                </xdr:grpSp>
              </xdr:grpSp>
              <xdr:grpSp>
                <xdr:nvGrpSpPr>
                  <xdr:cNvPr id="94" name="Group 89"/>
                  <xdr:cNvGrpSpPr>
                    <a:grpSpLocks/>
                  </xdr:cNvGrpSpPr>
                </xdr:nvGrpSpPr>
                <xdr:grpSpPr>
                  <a:xfrm>
                    <a:off x="925" y="16362"/>
                    <a:ext cx="18615" cy="3580"/>
                    <a:chOff x="0" y="6"/>
                    <a:chExt cx="20000" cy="19100"/>
                  </a:xfrm>
                  <a:solidFill>
                    <a:srgbClr val="FFFFFF"/>
                  </a:solidFill>
                </xdr:grpSpPr>
                <xdr:grpSp>
                  <xdr:nvGrpSpPr>
                    <xdr:cNvPr id="95" name="Group 90"/>
                    <xdr:cNvGrpSpPr>
                      <a:grpSpLocks/>
                    </xdr:cNvGrpSpPr>
                  </xdr:nvGrpSpPr>
                  <xdr:grpSpPr>
                    <a:xfrm>
                      <a:off x="0" y="6"/>
                      <a:ext cx="19505" cy="8199"/>
                      <a:chOff x="0" y="14"/>
                      <a:chExt cx="20000" cy="18957"/>
                    </a:xfrm>
                    <a:solidFill>
                      <a:srgbClr val="FFFFFF"/>
                    </a:solidFill>
                  </xdr:grpSpPr>
                  <xdr:grpSp>
                    <xdr:nvGrpSpPr>
                      <xdr:cNvPr id="96" name="Group 91"/>
                      <xdr:cNvGrpSpPr>
                        <a:grpSpLocks/>
                      </xdr:cNvGrpSpPr>
                    </xdr:nvGrpSpPr>
                    <xdr:grpSpPr>
                      <a:xfrm>
                        <a:off x="0" y="14"/>
                        <a:ext cx="19660" cy="6351"/>
                        <a:chOff x="0" y="42"/>
                        <a:chExt cx="20000" cy="18884"/>
                      </a:xfrm>
                      <a:solidFill>
                        <a:srgbClr val="FFFFFF"/>
                      </a:solidFill>
                    </xdr:grpSpPr>
                    <xdr:sp>
                      <xdr:nvSpPr>
                        <xdr:cNvPr id="97" name="AutoShape 92"/>
                        <xdr:cNvSpPr>
                          <a:spLocks/>
                        </xdr:cNvSpPr>
                      </xdr:nvSpPr>
                      <xdr:spPr>
                        <a:xfrm>
                          <a:off x="0" y="42"/>
                          <a:ext cx="19830" cy="109"/>
                        </a:xfrm>
                        <a:prstGeom prst="line">
                          <a:avLst/>
                        </a:prstGeom>
                        <a:solidFill>
                          <a:srgbClr val="FFFFFF"/>
                        </a:solidFill>
                        <a:ln w="9525" cmpd="sng">
                          <a:solidFill>
                            <a:srgbClr val="000000"/>
                          </a:solidFill>
                          <a:headEnd type="none"/>
                          <a:tailEnd type="none"/>
                        </a:ln>
                      </xdr:spPr>
                      <xdr:txBody>
                        <a:bodyPr vertOverflow="clip" wrap="square" lIns="91440" tIns="45720" rIns="91440" bIns="45720"/>
                        <a:p>
                          <a:pPr algn="l">
                            <a:defRPr/>
                          </a:pPr>
                          <a:r>
                            <a:rPr lang="en-US" cap="none" u="none" baseline="0">
                              <a:latin typeface="Arial"/>
                              <a:ea typeface="Arial"/>
                              <a:cs typeface="Arial"/>
                            </a:rPr>
                            <a:t/>
                          </a:r>
                        </a:p>
                      </xdr:txBody>
                    </xdr:sp>
                    <xdr:sp>
                      <xdr:nvSpPr>
                        <xdr:cNvPr id="98" name="AutoShape 93"/>
                        <xdr:cNvSpPr>
                          <a:spLocks/>
                        </xdr:cNvSpPr>
                      </xdr:nvSpPr>
                      <xdr:spPr>
                        <a:xfrm>
                          <a:off x="170" y="18742"/>
                          <a:ext cx="19830" cy="184"/>
                        </a:xfrm>
                        <a:prstGeom prst="line">
                          <a:avLst/>
                        </a:prstGeom>
                        <a:solidFill>
                          <a:srgbClr val="FFFFFF"/>
                        </a:solidFill>
                        <a:ln w="9525" cmpd="sng">
                          <a:solidFill>
                            <a:srgbClr val="000000"/>
                          </a:solidFill>
                          <a:headEnd type="none"/>
                          <a:tailEnd type="none"/>
                        </a:ln>
                      </xdr:spPr>
                      <xdr:txBody>
                        <a:bodyPr vertOverflow="clip" wrap="square" lIns="91440" tIns="45720" rIns="91440" bIns="45720"/>
                        <a:p>
                          <a:pPr algn="l">
                            <a:defRPr/>
                          </a:pPr>
                          <a:r>
                            <a:rPr lang="en-US" cap="none" u="none" baseline="0">
                              <a:latin typeface="Arial"/>
                              <a:ea typeface="Arial"/>
                              <a:cs typeface="Arial"/>
                            </a:rPr>
                            <a:t/>
                          </a:r>
                        </a:p>
                      </xdr:txBody>
                    </xdr:sp>
                  </xdr:grpSp>
                  <xdr:grpSp>
                    <xdr:nvGrpSpPr>
                      <xdr:cNvPr id="99" name="Group 94"/>
                      <xdr:cNvGrpSpPr>
                        <a:grpSpLocks/>
                      </xdr:cNvGrpSpPr>
                    </xdr:nvGrpSpPr>
                    <xdr:grpSpPr>
                      <a:xfrm>
                        <a:off x="340" y="12620"/>
                        <a:ext cx="19660" cy="6351"/>
                        <a:chOff x="0" y="0"/>
                        <a:chExt cx="20000" cy="19914"/>
                      </a:xfrm>
                      <a:solidFill>
                        <a:srgbClr val="FFFFFF"/>
                      </a:solidFill>
                    </xdr:grpSpPr>
                    <xdr:sp>
                      <xdr:nvSpPr>
                        <xdr:cNvPr id="100" name="AutoShape 95"/>
                        <xdr:cNvSpPr>
                          <a:spLocks/>
                        </xdr:cNvSpPr>
                      </xdr:nvSpPr>
                      <xdr:spPr>
                        <a:xfrm>
                          <a:off x="0" y="0"/>
                          <a:ext cx="19830" cy="115"/>
                        </a:xfrm>
                        <a:prstGeom prst="line">
                          <a:avLst/>
                        </a:prstGeom>
                        <a:solidFill>
                          <a:srgbClr val="FFFFFF"/>
                        </a:solidFill>
                        <a:ln w="9525" cmpd="sng">
                          <a:solidFill>
                            <a:srgbClr val="000000"/>
                          </a:solidFill>
                          <a:headEnd type="none"/>
                          <a:tailEnd type="none"/>
                        </a:ln>
                      </xdr:spPr>
                      <xdr:txBody>
                        <a:bodyPr vertOverflow="clip" wrap="square" lIns="91440" tIns="45720" rIns="91440" bIns="45720"/>
                        <a:p>
                          <a:pPr algn="l">
                            <a:defRPr/>
                          </a:pPr>
                          <a:r>
                            <a:rPr lang="en-US" cap="none" u="none" baseline="0">
                              <a:latin typeface="Arial"/>
                              <a:ea typeface="Arial"/>
                              <a:cs typeface="Arial"/>
                            </a:rPr>
                            <a:t/>
                          </a:r>
                        </a:p>
                      </xdr:txBody>
                    </xdr:sp>
                    <xdr:sp>
                      <xdr:nvSpPr>
                        <xdr:cNvPr id="101" name="AutoShape 96"/>
                        <xdr:cNvSpPr>
                          <a:spLocks/>
                        </xdr:cNvSpPr>
                      </xdr:nvSpPr>
                      <xdr:spPr>
                        <a:xfrm>
                          <a:off x="175" y="19720"/>
                          <a:ext cx="19825" cy="194"/>
                        </a:xfrm>
                        <a:prstGeom prst="line">
                          <a:avLst/>
                        </a:prstGeom>
                        <a:solidFill>
                          <a:srgbClr val="FFFFFF"/>
                        </a:solidFill>
                        <a:ln w="9525" cmpd="sng">
                          <a:solidFill>
                            <a:srgbClr val="000000"/>
                          </a:solidFill>
                          <a:headEnd type="none"/>
                          <a:tailEnd type="none"/>
                        </a:ln>
                      </xdr:spPr>
                      <xdr:txBody>
                        <a:bodyPr vertOverflow="clip" wrap="square" lIns="91440" tIns="45720" rIns="91440" bIns="45720"/>
                        <a:p>
                          <a:pPr algn="l">
                            <a:defRPr/>
                          </a:pPr>
                          <a:r>
                            <a:rPr lang="en-US" cap="none" u="none" baseline="0">
                              <a:latin typeface="Arial"/>
                              <a:ea typeface="Arial"/>
                              <a:cs typeface="Arial"/>
                            </a:rPr>
                            <a:t/>
                          </a:r>
                        </a:p>
                      </xdr:txBody>
                    </xdr:sp>
                  </xdr:grpSp>
                </xdr:grpSp>
                <xdr:grpSp>
                  <xdr:nvGrpSpPr>
                    <xdr:cNvPr id="102" name="Group 97"/>
                    <xdr:cNvGrpSpPr>
                      <a:grpSpLocks/>
                    </xdr:cNvGrpSpPr>
                  </xdr:nvGrpSpPr>
                  <xdr:grpSpPr>
                    <a:xfrm>
                      <a:off x="495" y="10907"/>
                      <a:ext cx="19505" cy="8199"/>
                      <a:chOff x="0" y="0"/>
                      <a:chExt cx="20000" cy="20040"/>
                    </a:xfrm>
                    <a:solidFill>
                      <a:srgbClr val="FFFFFF"/>
                    </a:solidFill>
                  </xdr:grpSpPr>
                  <xdr:grpSp>
                    <xdr:nvGrpSpPr>
                      <xdr:cNvPr id="103" name="Group 98"/>
                      <xdr:cNvGrpSpPr>
                        <a:grpSpLocks/>
                      </xdr:cNvGrpSpPr>
                    </xdr:nvGrpSpPr>
                    <xdr:grpSpPr>
                      <a:xfrm>
                        <a:off x="0" y="0"/>
                        <a:ext cx="19660" cy="6713"/>
                        <a:chOff x="0" y="36"/>
                        <a:chExt cx="20000" cy="19942"/>
                      </a:xfrm>
                      <a:solidFill>
                        <a:srgbClr val="FFFFFF"/>
                      </a:solidFill>
                    </xdr:grpSpPr>
                    <xdr:sp>
                      <xdr:nvSpPr>
                        <xdr:cNvPr id="104" name="AutoShape 99"/>
                        <xdr:cNvSpPr>
                          <a:spLocks/>
                        </xdr:cNvSpPr>
                      </xdr:nvSpPr>
                      <xdr:spPr>
                        <a:xfrm>
                          <a:off x="0" y="36"/>
                          <a:ext cx="19830" cy="194"/>
                        </a:xfrm>
                        <a:prstGeom prst="line">
                          <a:avLst/>
                        </a:prstGeom>
                        <a:solidFill>
                          <a:srgbClr val="FFFFFF"/>
                        </a:solidFill>
                        <a:ln w="9525" cmpd="sng">
                          <a:solidFill>
                            <a:srgbClr val="000000"/>
                          </a:solidFill>
                          <a:headEnd type="none"/>
                          <a:tailEnd type="none"/>
                        </a:ln>
                      </xdr:spPr>
                      <xdr:txBody>
                        <a:bodyPr vertOverflow="clip" wrap="square" lIns="91440" tIns="45720" rIns="91440" bIns="45720"/>
                        <a:p>
                          <a:pPr algn="l">
                            <a:defRPr/>
                          </a:pPr>
                          <a:r>
                            <a:rPr lang="en-US" cap="none" u="none" baseline="0">
                              <a:latin typeface="Arial"/>
                              <a:ea typeface="Arial"/>
                              <a:cs typeface="Arial"/>
                            </a:rPr>
                            <a:t/>
                          </a:r>
                        </a:p>
                      </xdr:txBody>
                    </xdr:sp>
                    <xdr:sp>
                      <xdr:nvSpPr>
                        <xdr:cNvPr id="105" name="AutoShape 100"/>
                        <xdr:cNvSpPr>
                          <a:spLocks/>
                        </xdr:cNvSpPr>
                      </xdr:nvSpPr>
                      <xdr:spPr>
                        <a:xfrm>
                          <a:off x="170" y="19863"/>
                          <a:ext cx="19830" cy="115"/>
                        </a:xfrm>
                        <a:prstGeom prst="line">
                          <a:avLst/>
                        </a:prstGeom>
                        <a:solidFill>
                          <a:srgbClr val="FFFFFF"/>
                        </a:solidFill>
                        <a:ln w="9525" cmpd="sng">
                          <a:solidFill>
                            <a:srgbClr val="000000"/>
                          </a:solidFill>
                          <a:headEnd type="none"/>
                          <a:tailEnd type="none"/>
                        </a:ln>
                      </xdr:spPr>
                      <xdr:txBody>
                        <a:bodyPr vertOverflow="clip" wrap="square" lIns="91440" tIns="45720" rIns="91440" bIns="45720"/>
                        <a:p>
                          <a:pPr algn="l">
                            <a:defRPr/>
                          </a:pPr>
                          <a:r>
                            <a:rPr lang="en-US" cap="none" u="none" baseline="0">
                              <a:latin typeface="Arial"/>
                              <a:ea typeface="Arial"/>
                              <a:cs typeface="Arial"/>
                            </a:rPr>
                            <a:t/>
                          </a:r>
                        </a:p>
                      </xdr:txBody>
                    </xdr:sp>
                  </xdr:grpSp>
                  <xdr:grpSp>
                    <xdr:nvGrpSpPr>
                      <xdr:cNvPr id="106" name="Group 101"/>
                      <xdr:cNvGrpSpPr>
                        <a:grpSpLocks/>
                      </xdr:cNvGrpSpPr>
                    </xdr:nvGrpSpPr>
                    <xdr:grpSpPr>
                      <a:xfrm>
                        <a:off x="340" y="13327"/>
                        <a:ext cx="19660" cy="6713"/>
                        <a:chOff x="0" y="0"/>
                        <a:chExt cx="20000" cy="20043"/>
                      </a:xfrm>
                      <a:solidFill>
                        <a:srgbClr val="FFFFFF"/>
                      </a:solidFill>
                    </xdr:grpSpPr>
                    <xdr:sp>
                      <xdr:nvSpPr>
                        <xdr:cNvPr id="107" name="AutoShape 102"/>
                        <xdr:cNvSpPr>
                          <a:spLocks/>
                        </xdr:cNvSpPr>
                      </xdr:nvSpPr>
                      <xdr:spPr>
                        <a:xfrm>
                          <a:off x="0" y="0"/>
                          <a:ext cx="19830" cy="195"/>
                        </a:xfrm>
                        <a:prstGeom prst="line">
                          <a:avLst/>
                        </a:prstGeom>
                        <a:solidFill>
                          <a:srgbClr val="FFFFFF"/>
                        </a:solidFill>
                        <a:ln w="9525" cmpd="sng">
                          <a:solidFill>
                            <a:srgbClr val="000000"/>
                          </a:solidFill>
                          <a:headEnd type="none"/>
                          <a:tailEnd type="none"/>
                        </a:ln>
                      </xdr:spPr>
                      <xdr:txBody>
                        <a:bodyPr vertOverflow="clip" wrap="square" lIns="91440" tIns="45720" rIns="91440" bIns="45720"/>
                        <a:p>
                          <a:pPr algn="l">
                            <a:defRPr/>
                          </a:pPr>
                          <a:r>
                            <a:rPr lang="en-US" cap="none" u="none" baseline="0">
                              <a:latin typeface="Arial"/>
                              <a:ea typeface="Arial"/>
                              <a:cs typeface="Arial"/>
                            </a:rPr>
                            <a:t/>
                          </a:r>
                        </a:p>
                      </xdr:txBody>
                    </xdr:sp>
                    <xdr:sp>
                      <xdr:nvSpPr>
                        <xdr:cNvPr id="108" name="AutoShape 103"/>
                        <xdr:cNvSpPr>
                          <a:spLocks/>
                        </xdr:cNvSpPr>
                      </xdr:nvSpPr>
                      <xdr:spPr>
                        <a:xfrm>
                          <a:off x="175" y="19928"/>
                          <a:ext cx="19825" cy="115"/>
                        </a:xfrm>
                        <a:prstGeom prst="line">
                          <a:avLst/>
                        </a:prstGeom>
                        <a:solidFill>
                          <a:srgbClr val="FFFFFF"/>
                        </a:solidFill>
                        <a:ln w="9525" cmpd="sng">
                          <a:solidFill>
                            <a:srgbClr val="000000"/>
                          </a:solidFill>
                          <a:headEnd type="none"/>
                          <a:tailEnd type="none"/>
                        </a:ln>
                      </xdr:spPr>
                      <xdr:txBody>
                        <a:bodyPr vertOverflow="clip" wrap="square" lIns="91440" tIns="45720" rIns="91440" bIns="45720"/>
                        <a:p>
                          <a:pPr algn="l">
                            <a:defRPr/>
                          </a:pPr>
                          <a:r>
                            <a:rPr lang="en-US" cap="none" u="none" baseline="0">
                              <a:latin typeface="Arial"/>
                              <a:ea typeface="Arial"/>
                              <a:cs typeface="Arial"/>
                            </a:rPr>
                            <a:t/>
                          </a:r>
                        </a:p>
                      </xdr:txBody>
                    </xdr:sp>
                  </xdr:grpSp>
                </xdr:grpSp>
              </xdr:grpSp>
            </xdr:grpSp>
            <xdr:sp>
              <xdr:nvSpPr>
                <xdr:cNvPr id="109" name="AutoShape 104"/>
                <xdr:cNvSpPr>
                  <a:spLocks/>
                </xdr:cNvSpPr>
              </xdr:nvSpPr>
              <xdr:spPr>
                <a:xfrm>
                  <a:off x="3325" y="18385"/>
                  <a:ext cx="4581" cy="295"/>
                </a:xfrm>
                <a:prstGeom prst="line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10" name="AutoShape 105"/>
                <xdr:cNvSpPr>
                  <a:spLocks/>
                </xdr:cNvSpPr>
              </xdr:nvSpPr>
              <xdr:spPr>
                <a:xfrm flipH="1">
                  <a:off x="11094" y="18385"/>
                  <a:ext cx="4874" cy="295"/>
                </a:xfrm>
                <a:prstGeom prst="line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11" name="AutoShape 106"/>
                <xdr:cNvSpPr>
                  <a:spLocks/>
                </xdr:cNvSpPr>
              </xdr:nvSpPr>
              <xdr:spPr>
                <a:xfrm>
                  <a:off x="7443" y="18650"/>
                  <a:ext cx="930" cy="1350"/>
                </a:xfrm>
                <a:prstGeom prst="line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12" name="AutoShape 107"/>
                <xdr:cNvSpPr>
                  <a:spLocks/>
                </xdr:cNvSpPr>
              </xdr:nvSpPr>
              <xdr:spPr>
                <a:xfrm flipH="1">
                  <a:off x="10457" y="18650"/>
                  <a:ext cx="930" cy="1350"/>
                </a:xfrm>
                <a:prstGeom prst="line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13" name="AutoShape 108"/>
                <xdr:cNvSpPr>
                  <a:spLocks/>
                </xdr:cNvSpPr>
              </xdr:nvSpPr>
              <xdr:spPr>
                <a:xfrm>
                  <a:off x="4370" y="19160"/>
                  <a:ext cx="11369" cy="195"/>
                </a:xfrm>
                <a:prstGeom prst="rect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14" name="AutoShape 109"/>
                <xdr:cNvSpPr>
                  <a:spLocks/>
                </xdr:cNvSpPr>
              </xdr:nvSpPr>
              <xdr:spPr>
                <a:xfrm>
                  <a:off x="15680" y="18840"/>
                  <a:ext cx="3536" cy="840"/>
                </a:xfrm>
                <a:prstGeom prst="ellipse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15" name="AutoShape 110"/>
                <xdr:cNvSpPr>
                  <a:spLocks/>
                </xdr:cNvSpPr>
              </xdr:nvSpPr>
              <xdr:spPr>
                <a:xfrm>
                  <a:off x="4196" y="1125"/>
                  <a:ext cx="11658" cy="300"/>
                </a:xfrm>
                <a:prstGeom prst="ellipse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16" name="AutoShape 111"/>
                <xdr:cNvSpPr>
                  <a:spLocks/>
                </xdr:cNvSpPr>
              </xdr:nvSpPr>
              <xdr:spPr>
                <a:xfrm>
                  <a:off x="3788" y="755"/>
                  <a:ext cx="11772" cy="510"/>
                </a:xfrm>
                <a:prstGeom prst="rect">
                  <a:avLst/>
                </a:prstGeom>
                <a:solidFill>
                  <a:srgbClr val="FFFFFF"/>
                </a:solidFill>
                <a:ln w="9525" cmpd="sng">
                  <a:noFill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  <xdr:sp>
            <xdr:nvSpPr>
              <xdr:cNvPr id="117" name="Line 128"/>
              <xdr:cNvSpPr>
                <a:spLocks/>
              </xdr:cNvSpPr>
            </xdr:nvSpPr>
            <xdr:spPr>
              <a:xfrm>
                <a:off x="410" y="184"/>
                <a:ext cx="0" cy="1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119" name="TextBox 145"/>
            <xdr:cNvSpPr txBox="1">
              <a:spLocks noChangeArrowheads="1"/>
            </xdr:cNvSpPr>
          </xdr:nvSpPr>
          <xdr:spPr>
            <a:xfrm>
              <a:off x="433" y="391"/>
              <a:ext cx="21" cy="16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15</xdr:col>
      <xdr:colOff>66675</xdr:colOff>
      <xdr:row>11</xdr:row>
      <xdr:rowOff>28575</xdr:rowOff>
    </xdr:from>
    <xdr:to>
      <xdr:col>23</xdr:col>
      <xdr:colOff>771525</xdr:colOff>
      <xdr:row>30</xdr:row>
      <xdr:rowOff>161925</xdr:rowOff>
    </xdr:to>
    <xdr:grpSp>
      <xdr:nvGrpSpPr>
        <xdr:cNvPr id="120" name="Group 165"/>
        <xdr:cNvGrpSpPr>
          <a:grpSpLocks/>
        </xdr:cNvGrpSpPr>
      </xdr:nvGrpSpPr>
      <xdr:grpSpPr>
        <a:xfrm>
          <a:off x="4352925" y="1485900"/>
          <a:ext cx="3076575" cy="3371850"/>
          <a:chOff x="457" y="156"/>
          <a:chExt cx="323" cy="348"/>
        </a:xfrm>
        <a:solidFill>
          <a:srgbClr val="FFFFFF"/>
        </a:solidFill>
      </xdr:grpSpPr>
      <xdr:graphicFrame>
        <xdr:nvGraphicFramePr>
          <xdr:cNvPr id="121" name="Chart 7"/>
          <xdr:cNvGraphicFramePr/>
        </xdr:nvGraphicFramePr>
        <xdr:xfrm>
          <a:off x="457" y="156"/>
          <a:ext cx="323" cy="348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grpSp>
        <xdr:nvGrpSpPr>
          <xdr:cNvPr id="122" name="Group 154"/>
          <xdr:cNvGrpSpPr>
            <a:grpSpLocks/>
          </xdr:cNvGrpSpPr>
        </xdr:nvGrpSpPr>
        <xdr:grpSpPr>
          <a:xfrm>
            <a:off x="499" y="477"/>
            <a:ext cx="274" cy="21"/>
            <a:chOff x="499" y="490"/>
            <a:chExt cx="274" cy="21"/>
          </a:xfrm>
          <a:solidFill>
            <a:srgbClr val="FFFFFF"/>
          </a:solidFill>
        </xdr:grpSpPr>
        <xdr:sp>
          <xdr:nvSpPr>
            <xdr:cNvPr id="123" name="TextBox 149"/>
            <xdr:cNvSpPr txBox="1">
              <a:spLocks noChangeArrowheads="1"/>
            </xdr:cNvSpPr>
          </xdr:nvSpPr>
          <xdr:spPr>
            <a:xfrm>
              <a:off x="499" y="491"/>
              <a:ext cx="29" cy="20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0" tIns="0" rIns="0" bIns="0"/>
            <a:p>
              <a:pPr algn="l">
                <a:defRPr/>
              </a:pPr>
              <a:r>
                <a:rPr lang="en-US" cap="none" sz="800" b="0" i="0" u="none" baseline="0">
                  <a:latin typeface="Arial"/>
                  <a:ea typeface="Arial"/>
                  <a:cs typeface="Arial"/>
                </a:rPr>
                <a:t> I</a:t>
              </a:r>
              <a:r>
                <a:rPr lang="en-US" cap="none" sz="1000" b="0" i="0" u="none" baseline="-25000">
                  <a:latin typeface="Arial"/>
                  <a:ea typeface="Arial"/>
                  <a:cs typeface="Arial"/>
                </a:rPr>
                <a:t>2(aq)</a:t>
              </a:r>
            </a:p>
          </xdr:txBody>
        </xdr:sp>
        <xdr:sp>
          <xdr:nvSpPr>
            <xdr:cNvPr id="124" name="TextBox 150"/>
            <xdr:cNvSpPr txBox="1">
              <a:spLocks noChangeArrowheads="1"/>
            </xdr:cNvSpPr>
          </xdr:nvSpPr>
          <xdr:spPr>
            <a:xfrm>
              <a:off x="567" y="490"/>
              <a:ext cx="60" cy="20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0" tIns="0" rIns="0" bIns="0"/>
            <a:p>
              <a:pPr algn="l">
                <a:defRPr/>
              </a:pPr>
              <a:r>
                <a:rPr lang="en-US" cap="none" sz="800" b="0" i="0" u="none" baseline="0">
                  <a:latin typeface="Arial"/>
                  <a:ea typeface="Arial"/>
                  <a:cs typeface="Arial"/>
                </a:rPr>
                <a:t> S</a:t>
              </a:r>
              <a:r>
                <a:rPr lang="en-US" cap="none" sz="1000" b="0" i="0" u="none" baseline="-25000">
                  <a:latin typeface="Arial"/>
                  <a:ea typeface="Arial"/>
                  <a:cs typeface="Arial"/>
                </a:rPr>
                <a:t>2</a:t>
              </a:r>
              <a:r>
                <a:rPr lang="en-US" cap="none" sz="800" b="0" i="0" u="none" baseline="0">
                  <a:latin typeface="Arial"/>
                  <a:ea typeface="Arial"/>
                  <a:cs typeface="Arial"/>
                </a:rPr>
                <a:t>O</a:t>
              </a:r>
              <a:r>
                <a:rPr lang="en-US" cap="none" sz="1000" b="0" i="0" u="none" baseline="-25000">
                  <a:latin typeface="Arial"/>
                  <a:ea typeface="Arial"/>
                  <a:cs typeface="Arial"/>
                </a:rPr>
                <a:t>3</a:t>
              </a:r>
              <a:r>
                <a:rPr lang="en-US" cap="none" sz="1000" b="0" i="0" u="none" baseline="30000">
                  <a:latin typeface="Arial"/>
                  <a:ea typeface="Arial"/>
                  <a:cs typeface="Arial"/>
                </a:rPr>
                <a:t>2-</a:t>
              </a:r>
              <a:r>
                <a:rPr lang="en-US" cap="none" sz="1000" b="0" i="0" u="none" baseline="-25000">
                  <a:latin typeface="Arial"/>
                  <a:ea typeface="Arial"/>
                  <a:cs typeface="Arial"/>
                </a:rPr>
                <a:t>(aq)</a:t>
              </a:r>
            </a:p>
          </xdr:txBody>
        </xdr:sp>
        <xdr:sp>
          <xdr:nvSpPr>
            <xdr:cNvPr id="125" name="TextBox 152"/>
            <xdr:cNvSpPr txBox="1">
              <a:spLocks noChangeArrowheads="1"/>
            </xdr:cNvSpPr>
          </xdr:nvSpPr>
          <xdr:spPr>
            <a:xfrm>
              <a:off x="664" y="492"/>
              <a:ext cx="33" cy="19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0" tIns="0" rIns="0" bIns="0"/>
            <a:p>
              <a:pPr algn="l">
                <a:defRPr/>
              </a:pPr>
              <a:r>
                <a:rPr lang="en-US" cap="none" sz="800" b="0" i="0" u="none" baseline="0">
                  <a:latin typeface="Arial"/>
                  <a:ea typeface="Arial"/>
                  <a:cs typeface="Arial"/>
                </a:rPr>
                <a:t> I </a:t>
              </a:r>
              <a:r>
                <a:rPr lang="en-US" cap="none" sz="1000" b="0" i="0" u="none" baseline="30000">
                  <a:latin typeface="Arial"/>
                  <a:ea typeface="Arial"/>
                  <a:cs typeface="Arial"/>
                </a:rPr>
                <a:t>-</a:t>
              </a:r>
              <a:r>
                <a:rPr lang="en-US" cap="none" sz="1000" b="0" i="0" u="none" baseline="-25000">
                  <a:latin typeface="Arial"/>
                  <a:ea typeface="Arial"/>
                  <a:cs typeface="Arial"/>
                </a:rPr>
                <a:t>(aq)</a:t>
              </a:r>
            </a:p>
          </xdr:txBody>
        </xdr:sp>
        <xdr:sp>
          <xdr:nvSpPr>
            <xdr:cNvPr id="126" name="TextBox 153"/>
            <xdr:cNvSpPr txBox="1">
              <a:spLocks noChangeArrowheads="1"/>
            </xdr:cNvSpPr>
          </xdr:nvSpPr>
          <xdr:spPr>
            <a:xfrm>
              <a:off x="724" y="490"/>
              <a:ext cx="49" cy="19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0" tIns="0" rIns="0" bIns="0"/>
            <a:p>
              <a:pPr algn="l">
                <a:defRPr/>
              </a:pPr>
              <a:r>
                <a:rPr lang="en-US" cap="none" sz="800" b="0" i="0" u="none" baseline="0">
                  <a:latin typeface="Arial"/>
                  <a:ea typeface="Arial"/>
                  <a:cs typeface="Arial"/>
                </a:rPr>
                <a:t>S</a:t>
              </a:r>
              <a:r>
                <a:rPr lang="en-US" cap="none" sz="1000" b="0" i="0" u="none" baseline="-25000">
                  <a:latin typeface="Arial"/>
                  <a:ea typeface="Arial"/>
                  <a:cs typeface="Arial"/>
                </a:rPr>
                <a:t>4</a:t>
              </a:r>
              <a:r>
                <a:rPr lang="en-US" cap="none" sz="800" b="0" i="0" u="none" baseline="0">
                  <a:latin typeface="Arial"/>
                  <a:ea typeface="Arial"/>
                  <a:cs typeface="Arial"/>
                </a:rPr>
                <a:t>O</a:t>
              </a:r>
              <a:r>
                <a:rPr lang="en-US" cap="none" sz="1000" b="0" i="0" u="none" baseline="-25000">
                  <a:latin typeface="Arial"/>
                  <a:ea typeface="Arial"/>
                  <a:cs typeface="Arial"/>
                </a:rPr>
                <a:t>6</a:t>
              </a:r>
              <a:r>
                <a:rPr lang="en-US" cap="none" sz="1000" b="0" i="0" u="none" baseline="30000">
                  <a:latin typeface="Arial"/>
                  <a:ea typeface="Arial"/>
                  <a:cs typeface="Arial"/>
                </a:rPr>
                <a:t>2-</a:t>
              </a:r>
              <a:r>
                <a:rPr lang="en-US" cap="none" sz="1000" b="0" i="0" u="none" baseline="-25000">
                  <a:latin typeface="Arial"/>
                  <a:ea typeface="Arial"/>
                  <a:cs typeface="Arial"/>
                </a:rPr>
                <a:t>(aq)</a:t>
              </a:r>
            </a:p>
          </xdr:txBody>
        </xdr:sp>
      </xdr:grpSp>
    </xdr:grpSp>
    <xdr:clientData/>
  </xdr:twoCellAnchor>
  <xdr:twoCellAnchor>
    <xdr:from>
      <xdr:col>0</xdr:col>
      <xdr:colOff>85725</xdr:colOff>
      <xdr:row>29</xdr:row>
      <xdr:rowOff>142875</xdr:rowOff>
    </xdr:from>
    <xdr:to>
      <xdr:col>9</xdr:col>
      <xdr:colOff>228600</xdr:colOff>
      <xdr:row>31</xdr:row>
      <xdr:rowOff>19050</xdr:rowOff>
    </xdr:to>
    <xdr:grpSp>
      <xdr:nvGrpSpPr>
        <xdr:cNvPr id="127" name="Group 179"/>
        <xdr:cNvGrpSpPr>
          <a:grpSpLocks/>
        </xdr:cNvGrpSpPr>
      </xdr:nvGrpSpPr>
      <xdr:grpSpPr>
        <a:xfrm>
          <a:off x="85725" y="4667250"/>
          <a:ext cx="2552700" cy="247650"/>
          <a:chOff x="9" y="484"/>
          <a:chExt cx="268" cy="26"/>
        </a:xfrm>
        <a:solidFill>
          <a:srgbClr val="FFFFFF"/>
        </a:solidFill>
      </xdr:grpSpPr>
    </xdr:grpSp>
    <xdr:clientData/>
  </xdr:twoCellAnchor>
  <xdr:twoCellAnchor>
    <xdr:from>
      <xdr:col>0</xdr:col>
      <xdr:colOff>28575</xdr:colOff>
      <xdr:row>11</xdr:row>
      <xdr:rowOff>19050</xdr:rowOff>
    </xdr:from>
    <xdr:to>
      <xdr:col>9</xdr:col>
      <xdr:colOff>257175</xdr:colOff>
      <xdr:row>29</xdr:row>
      <xdr:rowOff>114300</xdr:rowOff>
    </xdr:to>
    <xdr:grpSp>
      <xdr:nvGrpSpPr>
        <xdr:cNvPr id="131" name="Group 176"/>
        <xdr:cNvGrpSpPr>
          <a:grpSpLocks/>
        </xdr:cNvGrpSpPr>
      </xdr:nvGrpSpPr>
      <xdr:grpSpPr>
        <a:xfrm>
          <a:off x="28575" y="1476375"/>
          <a:ext cx="2638425" cy="3162300"/>
          <a:chOff x="3" y="155"/>
          <a:chExt cx="277" cy="326"/>
        </a:xfrm>
        <a:solidFill>
          <a:srgbClr val="FFFFFF"/>
        </a:solidFill>
      </xdr:grpSpPr>
      <xdr:graphicFrame>
        <xdr:nvGraphicFramePr>
          <xdr:cNvPr id="132" name="Chart 8"/>
          <xdr:cNvGraphicFramePr/>
        </xdr:nvGraphicFramePr>
        <xdr:xfrm>
          <a:off x="3" y="155"/>
          <a:ext cx="277" cy="326"/>
        </xdr:xfrm>
        <a:graphic>
          <a:graphicData uri="http://schemas.openxmlformats.org/drawingml/2006/chart">
            <c:chart xmlns:c="http://schemas.openxmlformats.org/drawingml/2006/chart" r:id="rId4"/>
          </a:graphicData>
        </a:graphic>
      </xdr:graphicFrame>
      <xdr:sp>
        <xdr:nvSpPr>
          <xdr:cNvPr id="133" name="TextBox 166"/>
          <xdr:cNvSpPr txBox="1">
            <a:spLocks noChangeArrowheads="1"/>
          </xdr:cNvSpPr>
        </xdr:nvSpPr>
        <xdr:spPr>
          <a:xfrm>
            <a:off x="17" y="170"/>
            <a:ext cx="15" cy="11"/>
          </a:xfrm>
          <a:prstGeom prst="rect">
            <a:avLst/>
          </a:prstGeom>
          <a:solidFill>
            <a:srgbClr val="CCFFCC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590550</xdr:colOff>
      <xdr:row>0</xdr:row>
      <xdr:rowOff>276225</xdr:rowOff>
    </xdr:from>
    <xdr:to>
      <xdr:col>1</xdr:col>
      <xdr:colOff>447675</xdr:colOff>
      <xdr:row>3</xdr:row>
      <xdr:rowOff>0</xdr:rowOff>
    </xdr:to>
    <xdr:grpSp>
      <xdr:nvGrpSpPr>
        <xdr:cNvPr id="134" name="Group 180"/>
        <xdr:cNvGrpSpPr>
          <a:grpSpLocks/>
        </xdr:cNvGrpSpPr>
      </xdr:nvGrpSpPr>
      <xdr:grpSpPr>
        <a:xfrm>
          <a:off x="590550" y="276225"/>
          <a:ext cx="495300" cy="257175"/>
          <a:chOff x="62" y="29"/>
          <a:chExt cx="52" cy="27"/>
        </a:xfrm>
        <a:solidFill>
          <a:srgbClr val="FFFFFF"/>
        </a:solidFill>
      </xdr:grpSpPr>
    </xdr:grpSp>
    <xdr:clientData/>
  </xdr:twoCellAnchor>
  <xdr:twoCellAnchor>
    <xdr:from>
      <xdr:col>0</xdr:col>
      <xdr:colOff>9525</xdr:colOff>
      <xdr:row>6</xdr:row>
      <xdr:rowOff>9525</xdr:rowOff>
    </xdr:from>
    <xdr:to>
      <xdr:col>0</xdr:col>
      <xdr:colOff>19050</xdr:colOff>
      <xdr:row>6</xdr:row>
      <xdr:rowOff>19050</xdr:rowOff>
    </xdr:to>
    <xdr:sp>
      <xdr:nvSpPr>
        <xdr:cNvPr id="137" name="TextBox 171"/>
        <xdr:cNvSpPr txBox="1">
          <a:spLocks noChangeArrowheads="1"/>
        </xdr:cNvSpPr>
      </xdr:nvSpPr>
      <xdr:spPr>
        <a:xfrm>
          <a:off x="9525" y="762000"/>
          <a:ext cx="9525" cy="9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24</xdr:col>
      <xdr:colOff>9525</xdr:colOff>
      <xdr:row>11</xdr:row>
      <xdr:rowOff>9525</xdr:rowOff>
    </xdr:to>
    <xdr:sp>
      <xdr:nvSpPr>
        <xdr:cNvPr id="138" name="TextBox 173"/>
        <xdr:cNvSpPr txBox="1">
          <a:spLocks noChangeArrowheads="1"/>
        </xdr:cNvSpPr>
      </xdr:nvSpPr>
      <xdr:spPr>
        <a:xfrm>
          <a:off x="0" y="762000"/>
          <a:ext cx="748665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19050</xdr:colOff>
      <xdr:row>11</xdr:row>
      <xdr:rowOff>19050</xdr:rowOff>
    </xdr:from>
    <xdr:to>
      <xdr:col>24</xdr:col>
      <xdr:colOff>0</xdr:colOff>
      <xdr:row>31</xdr:row>
      <xdr:rowOff>0</xdr:rowOff>
    </xdr:to>
    <xdr:sp>
      <xdr:nvSpPr>
        <xdr:cNvPr id="139" name="TextBox 178"/>
        <xdr:cNvSpPr txBox="1">
          <a:spLocks noChangeArrowheads="1"/>
        </xdr:cNvSpPr>
      </xdr:nvSpPr>
      <xdr:spPr>
        <a:xfrm>
          <a:off x="4305300" y="1476375"/>
          <a:ext cx="3171825" cy="3419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400050</xdr:colOff>
      <xdr:row>0</xdr:row>
      <xdr:rowOff>0</xdr:rowOff>
    </xdr:from>
    <xdr:to>
      <xdr:col>19</xdr:col>
      <xdr:colOff>638175</xdr:colOff>
      <xdr:row>1</xdr:row>
      <xdr:rowOff>190500</xdr:rowOff>
    </xdr:to>
    <xdr:sp>
      <xdr:nvSpPr>
        <xdr:cNvPr id="1" name="AutoShape 2"/>
        <xdr:cNvSpPr>
          <a:spLocks/>
        </xdr:cNvSpPr>
      </xdr:nvSpPr>
      <xdr:spPr>
        <a:xfrm>
          <a:off x="1314450" y="0"/>
          <a:ext cx="4962525" cy="5143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gradFill rotWithShape="1">
                <a:gsLst>
                  <a:gs pos="0">
                    <a:srgbClr val="A603AB"/>
                  </a:gs>
                  <a:gs pos="12000">
                    <a:srgbClr val="E81766"/>
                  </a:gs>
                  <a:gs pos="27000">
                    <a:srgbClr val="EE3F17"/>
                  </a:gs>
                  <a:gs pos="48000">
                    <a:srgbClr val="FFFF00"/>
                  </a:gs>
                  <a:gs pos="64999">
                    <a:srgbClr val="1A8D48"/>
                  </a:gs>
                  <a:gs pos="78999">
                    <a:srgbClr val="0819FB"/>
                  </a:gs>
                  <a:gs pos="100000">
                    <a:srgbClr val="A603AB"/>
                  </a:gs>
                </a:gsLst>
                <a:lin ang="0" scaled="1"/>
              </a:gradFill>
              <a:effectLst>
                <a:outerShdw dist="35921" dir="2700000" sy="50000" kx="2115830" algn="bl">
                  <a:srgbClr val="C0C0C0">
                    <a:alpha val="100000"/>
                  </a:srgbClr>
                </a:outerShdw>
              </a:effectLst>
              <a:latin typeface="Arial Black"/>
              <a:cs typeface="Arial Black"/>
            </a:rPr>
            <a:t>Etat de l'avancement maximal au cours du titrage
</a:t>
          </a:r>
        </a:p>
      </xdr:txBody>
    </xdr:sp>
    <xdr:clientData/>
  </xdr:twoCellAnchor>
  <xdr:twoCellAnchor>
    <xdr:from>
      <xdr:col>9</xdr:col>
      <xdr:colOff>542925</xdr:colOff>
      <xdr:row>11</xdr:row>
      <xdr:rowOff>28575</xdr:rowOff>
    </xdr:from>
    <xdr:to>
      <xdr:col>22</xdr:col>
      <xdr:colOff>781050</xdr:colOff>
      <xdr:row>28</xdr:row>
      <xdr:rowOff>9525</xdr:rowOff>
    </xdr:to>
    <xdr:graphicFrame>
      <xdr:nvGraphicFramePr>
        <xdr:cNvPr id="2" name="Chart 1"/>
        <xdr:cNvGraphicFramePr/>
      </xdr:nvGraphicFramePr>
      <xdr:xfrm>
        <a:off x="3257550" y="1504950"/>
        <a:ext cx="424815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114300</xdr:colOff>
      <xdr:row>26</xdr:row>
      <xdr:rowOff>38100</xdr:rowOff>
    </xdr:from>
    <xdr:to>
      <xdr:col>10</xdr:col>
      <xdr:colOff>466725</xdr:colOff>
      <xdr:row>27</xdr:row>
      <xdr:rowOff>66675</xdr:rowOff>
    </xdr:to>
    <xdr:sp>
      <xdr:nvSpPr>
        <xdr:cNvPr id="3" name="TextBox 12"/>
        <xdr:cNvSpPr txBox="1">
          <a:spLocks noChangeArrowheads="1"/>
        </xdr:cNvSpPr>
      </xdr:nvSpPr>
      <xdr:spPr>
        <a:xfrm>
          <a:off x="3581400" y="3943350"/>
          <a:ext cx="3524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I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2(aq)</a:t>
          </a:r>
        </a:p>
      </xdr:txBody>
    </xdr:sp>
    <xdr:clientData/>
  </xdr:twoCellAnchor>
  <xdr:twoCellAnchor>
    <xdr:from>
      <xdr:col>13</xdr:col>
      <xdr:colOff>209550</xdr:colOff>
      <xdr:row>26</xdr:row>
      <xdr:rowOff>47625</xdr:rowOff>
    </xdr:from>
    <xdr:to>
      <xdr:col>15</xdr:col>
      <xdr:colOff>361950</xdr:colOff>
      <xdr:row>27</xdr:row>
      <xdr:rowOff>66675</xdr:rowOff>
    </xdr:to>
    <xdr:sp>
      <xdr:nvSpPr>
        <xdr:cNvPr id="4" name="TextBox 13"/>
        <xdr:cNvSpPr txBox="1">
          <a:spLocks noChangeArrowheads="1"/>
        </xdr:cNvSpPr>
      </xdr:nvSpPr>
      <xdr:spPr>
        <a:xfrm>
          <a:off x="4229100" y="3952875"/>
          <a:ext cx="56197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S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2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O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3</a:t>
          </a:r>
          <a:r>
            <a:rPr lang="en-US" cap="none" sz="1000" b="0" i="0" u="none" baseline="30000">
              <a:latin typeface="Arial"/>
              <a:ea typeface="Arial"/>
              <a:cs typeface="Arial"/>
            </a:rPr>
            <a:t>2-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(aq)</a:t>
          </a:r>
        </a:p>
      </xdr:txBody>
    </xdr:sp>
    <xdr:clientData/>
  </xdr:twoCellAnchor>
  <xdr:twoCellAnchor>
    <xdr:from>
      <xdr:col>15</xdr:col>
      <xdr:colOff>666750</xdr:colOff>
      <xdr:row>26</xdr:row>
      <xdr:rowOff>38100</xdr:rowOff>
    </xdr:from>
    <xdr:to>
      <xdr:col>18</xdr:col>
      <xdr:colOff>76200</xdr:colOff>
      <xdr:row>27</xdr:row>
      <xdr:rowOff>85725</xdr:rowOff>
    </xdr:to>
    <xdr:sp>
      <xdr:nvSpPr>
        <xdr:cNvPr id="5" name="TextBox 14"/>
        <xdr:cNvSpPr txBox="1">
          <a:spLocks noChangeArrowheads="1"/>
        </xdr:cNvSpPr>
      </xdr:nvSpPr>
      <xdr:spPr>
        <a:xfrm>
          <a:off x="5095875" y="3943350"/>
          <a:ext cx="3333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I </a:t>
          </a:r>
          <a:r>
            <a:rPr lang="en-US" cap="none" sz="1000" b="0" i="0" u="none" baseline="30000">
              <a:latin typeface="Arial"/>
              <a:ea typeface="Arial"/>
              <a:cs typeface="Arial"/>
            </a:rPr>
            <a:t>-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(aq)</a:t>
          </a:r>
        </a:p>
      </xdr:txBody>
    </xdr:sp>
    <xdr:clientData/>
  </xdr:twoCellAnchor>
  <xdr:twoCellAnchor>
    <xdr:from>
      <xdr:col>19</xdr:col>
      <xdr:colOff>76200</xdr:colOff>
      <xdr:row>26</xdr:row>
      <xdr:rowOff>47625</xdr:rowOff>
    </xdr:from>
    <xdr:to>
      <xdr:col>19</xdr:col>
      <xdr:colOff>619125</xdr:colOff>
      <xdr:row>27</xdr:row>
      <xdr:rowOff>76200</xdr:rowOff>
    </xdr:to>
    <xdr:sp>
      <xdr:nvSpPr>
        <xdr:cNvPr id="6" name="TextBox 15"/>
        <xdr:cNvSpPr txBox="1">
          <a:spLocks noChangeArrowheads="1"/>
        </xdr:cNvSpPr>
      </xdr:nvSpPr>
      <xdr:spPr>
        <a:xfrm>
          <a:off x="5715000" y="3952875"/>
          <a:ext cx="5429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4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O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6</a:t>
          </a:r>
          <a:r>
            <a:rPr lang="en-US" cap="none" sz="1000" b="0" i="0" u="none" baseline="30000">
              <a:latin typeface="Arial"/>
              <a:ea typeface="Arial"/>
              <a:cs typeface="Arial"/>
            </a:rPr>
            <a:t>2-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(aq)</a:t>
          </a:r>
        </a:p>
      </xdr:txBody>
    </xdr:sp>
    <xdr:clientData/>
  </xdr:twoCellAnchor>
  <xdr:twoCellAnchor>
    <xdr:from>
      <xdr:col>0</xdr:col>
      <xdr:colOff>28575</xdr:colOff>
      <xdr:row>11</xdr:row>
      <xdr:rowOff>28575</xdr:rowOff>
    </xdr:from>
    <xdr:to>
      <xdr:col>9</xdr:col>
      <xdr:colOff>495300</xdr:colOff>
      <xdr:row>28</xdr:row>
      <xdr:rowOff>19050</xdr:rowOff>
    </xdr:to>
    <xdr:graphicFrame>
      <xdr:nvGraphicFramePr>
        <xdr:cNvPr id="7" name="Chart 17"/>
        <xdr:cNvGraphicFramePr/>
      </xdr:nvGraphicFramePr>
      <xdr:xfrm>
        <a:off x="28575" y="1504950"/>
        <a:ext cx="318135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/>
  <dimension ref="A1:P81"/>
  <sheetViews>
    <sheetView showGridLines="0" showRowColHeaders="0" tabSelected="1" workbookViewId="0" topLeftCell="A1">
      <selection activeCell="A81" sqref="A81"/>
    </sheetView>
  </sheetViews>
  <sheetFormatPr defaultColWidth="11.421875" defaultRowHeight="12.75"/>
  <sheetData>
    <row r="1" spans="1:15" ht="12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ht="22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12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ht="12.7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 ht="12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5" ht="12.7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2.7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</row>
    <row r="8" spans="1:15" ht="12.7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</row>
    <row r="9" spans="1:15" ht="12.7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</row>
    <row r="10" spans="1:15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15" ht="12.7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</row>
    <row r="12" spans="1:15" ht="12.7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</row>
    <row r="13" spans="1:15" ht="12.7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pans="1:15" ht="12.7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</row>
    <row r="15" spans="1:15" ht="12.7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</row>
    <row r="16" spans="1:15" ht="12.7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</row>
    <row r="17" spans="1:15" ht="12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</row>
    <row r="18" spans="1:15" ht="12.7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</row>
    <row r="19" spans="1:15" ht="12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</row>
    <row r="20" spans="1:15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</row>
    <row r="21" spans="1:15" ht="3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</row>
    <row r="22" spans="1:15" ht="12.75">
      <c r="A22" s="6"/>
      <c r="B22" s="11"/>
      <c r="C22" s="11"/>
      <c r="D22" s="11"/>
      <c r="E22" s="11"/>
      <c r="F22" s="11"/>
      <c r="G22" s="11"/>
      <c r="H22" s="11"/>
      <c r="I22" s="6"/>
      <c r="J22" s="6"/>
      <c r="K22" s="6"/>
      <c r="L22" s="6"/>
      <c r="M22" s="6"/>
      <c r="N22" s="6"/>
      <c r="O22" s="6"/>
    </row>
    <row r="23" spans="1:15" ht="16.5" customHeight="1">
      <c r="A23" s="6"/>
      <c r="B23" s="11"/>
      <c r="C23" s="11"/>
      <c r="D23" s="11"/>
      <c r="E23" s="11"/>
      <c r="F23" s="11"/>
      <c r="G23" s="11"/>
      <c r="H23" s="11"/>
      <c r="I23" s="6"/>
      <c r="J23" s="6"/>
      <c r="K23" s="6"/>
      <c r="L23" s="6"/>
      <c r="M23" s="6"/>
      <c r="N23" s="6"/>
      <c r="O23" s="6"/>
    </row>
    <row r="24" spans="1:15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</row>
    <row r="25" spans="1:15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</row>
    <row r="26" spans="1:15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</row>
    <row r="27" spans="1:15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</row>
    <row r="28" spans="1:15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</row>
    <row r="29" spans="1:15" ht="12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</row>
    <row r="30" spans="1:15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</row>
    <row r="31" spans="1:15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</row>
    <row r="32" spans="1:15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</row>
    <row r="33" spans="1:15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</row>
    <row r="34" spans="1:15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</row>
    <row r="35" spans="1:15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</row>
    <row r="36" spans="1:15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</row>
    <row r="37" spans="1:15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</row>
    <row r="38" spans="1:15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</row>
    <row r="39" spans="1:15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</row>
    <row r="40" spans="1:15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</row>
    <row r="41" spans="1:15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</row>
    <row r="42" spans="1:15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</row>
    <row r="43" spans="1:15" ht="12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</row>
    <row r="44" spans="1:16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</row>
    <row r="45" spans="1:16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</row>
    <row r="46" spans="1:16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</row>
    <row r="47" spans="1:16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</row>
    <row r="48" spans="1:16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</row>
    <row r="49" spans="1:16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</row>
    <row r="50" spans="1:16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</row>
    <row r="51" spans="1:16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</row>
    <row r="57" spans="1:16" ht="12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</row>
    <row r="58" spans="1:16" ht="12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</row>
    <row r="59" spans="1:16" ht="12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</row>
    <row r="60" spans="1:16" ht="12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</row>
    <row r="61" spans="1:16" ht="12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</row>
    <row r="62" spans="1:16" ht="12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</row>
    <row r="63" spans="1:16" ht="12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</row>
    <row r="64" spans="1:16" ht="12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</row>
    <row r="65" spans="1:16" ht="12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</row>
    <row r="66" spans="1:16" ht="12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</row>
    <row r="67" spans="1:16" ht="12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</row>
    <row r="68" spans="1:16" ht="12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</row>
    <row r="69" spans="1:16" ht="12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</row>
    <row r="70" spans="1:16" ht="12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</row>
    <row r="71" spans="1:16" ht="12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</row>
    <row r="72" spans="1:16" ht="12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</row>
    <row r="73" spans="1:16" ht="12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</row>
    <row r="74" spans="1:16" ht="12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</row>
    <row r="75" spans="1:16" ht="12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</row>
    <row r="76" spans="1:16" ht="12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</row>
    <row r="77" spans="1:16" ht="12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</row>
    <row r="78" spans="1:16" ht="12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</row>
    <row r="79" spans="1:16" ht="12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</row>
    <row r="80" spans="1:16" ht="12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</row>
    <row r="81" spans="1:16" ht="12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</row>
  </sheetData>
  <printOptions/>
  <pageMargins left="0.75" right="0.75" top="1" bottom="1" header="0.4921259845" footer="0.4921259845"/>
  <pageSetup orientation="landscape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/>
  <dimension ref="A1:S122"/>
  <sheetViews>
    <sheetView showGridLines="0" showRowColHeaders="0" workbookViewId="0" topLeftCell="A1">
      <selection activeCell="A122" sqref="A122"/>
    </sheetView>
  </sheetViews>
  <sheetFormatPr defaultColWidth="11.421875" defaultRowHeight="12.75"/>
  <cols>
    <col min="1" max="1" width="10.7109375" style="6" customWidth="1"/>
    <col min="2" max="2" width="12.7109375" style="6" customWidth="1"/>
    <col min="3" max="3" width="2.7109375" style="6" customWidth="1"/>
    <col min="4" max="4" width="10.7109375" style="6" customWidth="1"/>
    <col min="5" max="5" width="12.7109375" style="6" customWidth="1"/>
    <col min="6" max="6" width="8.7109375" style="6" customWidth="1"/>
    <col min="7" max="7" width="10.7109375" style="6" customWidth="1"/>
    <col min="8" max="8" width="12.7109375" style="6" customWidth="1"/>
    <col min="9" max="9" width="2.7109375" style="6" customWidth="1"/>
    <col min="10" max="10" width="10.7109375" style="6" customWidth="1"/>
    <col min="11" max="11" width="12.8515625" style="6" customWidth="1"/>
    <col min="12" max="14" width="11.421875" style="6" customWidth="1"/>
  </cols>
  <sheetData>
    <row r="1" spans="1:19" ht="13.5" customHeight="1">
      <c r="A1" s="18"/>
      <c r="B1" s="18"/>
      <c r="O1" s="6"/>
      <c r="P1" s="6"/>
      <c r="Q1" s="6"/>
      <c r="R1" s="6"/>
      <c r="S1" s="6"/>
    </row>
    <row r="2" spans="15:19" ht="26.25" customHeight="1">
      <c r="O2" s="6"/>
      <c r="P2" s="6"/>
      <c r="Q2" s="6"/>
      <c r="R2" s="6"/>
      <c r="S2" s="6"/>
    </row>
    <row r="3" spans="15:19" ht="12.75">
      <c r="O3" s="6"/>
      <c r="P3" s="6"/>
      <c r="Q3" s="6"/>
      <c r="R3" s="6"/>
      <c r="S3" s="6"/>
    </row>
    <row r="4" spans="15:19" ht="24.75" customHeight="1">
      <c r="O4" s="6"/>
      <c r="P4" s="6"/>
      <c r="Q4" s="6"/>
      <c r="R4" s="6"/>
      <c r="S4" s="6"/>
    </row>
    <row r="5" spans="15:19" ht="21" customHeight="1">
      <c r="O5" s="6"/>
      <c r="P5" s="6"/>
      <c r="Q5" s="6"/>
      <c r="R5" s="6"/>
      <c r="S5" s="6"/>
    </row>
    <row r="6" spans="15:19" ht="12.75">
      <c r="O6" s="6"/>
      <c r="P6" s="6"/>
      <c r="Q6" s="6"/>
      <c r="R6" s="6"/>
      <c r="S6" s="6"/>
    </row>
    <row r="7" spans="15:19" ht="12.75">
      <c r="O7" s="6"/>
      <c r="P7" s="6"/>
      <c r="Q7" s="6"/>
      <c r="R7" s="6"/>
      <c r="S7" s="6"/>
    </row>
    <row r="8" spans="15:19" ht="12.75">
      <c r="O8" s="6"/>
      <c r="P8" s="6"/>
      <c r="Q8" s="6"/>
      <c r="R8" s="6"/>
      <c r="S8" s="6"/>
    </row>
    <row r="9" spans="15:19" ht="22.5" customHeight="1">
      <c r="O9" s="6"/>
      <c r="P9" s="6"/>
      <c r="Q9" s="6"/>
      <c r="R9" s="6"/>
      <c r="S9" s="6"/>
    </row>
    <row r="10" spans="15:19" ht="12.75">
      <c r="O10" s="6"/>
      <c r="P10" s="6"/>
      <c r="Q10" s="6"/>
      <c r="R10" s="6"/>
      <c r="S10" s="6"/>
    </row>
    <row r="11" spans="2:19" ht="16.5" customHeight="1">
      <c r="B11" s="6" t="s">
        <v>32</v>
      </c>
      <c r="O11" s="6"/>
      <c r="P11" s="6"/>
      <c r="Q11" s="6"/>
      <c r="R11" s="6"/>
      <c r="S11" s="6"/>
    </row>
    <row r="12" spans="3:19" ht="23.25" customHeight="1">
      <c r="C12" s="144"/>
      <c r="O12" s="6"/>
      <c r="P12" s="6"/>
      <c r="Q12" s="6"/>
      <c r="R12" s="6"/>
      <c r="S12" s="6"/>
    </row>
    <row r="13" spans="1:19" ht="22.5" customHeight="1">
      <c r="A13" s="6" t="s">
        <v>8</v>
      </c>
      <c r="C13" s="145"/>
      <c r="O13" s="6"/>
      <c r="P13" s="6"/>
      <c r="Q13" s="6"/>
      <c r="R13" s="6"/>
      <c r="S13" s="6"/>
    </row>
    <row r="14" spans="1:19" ht="30.75" customHeight="1">
      <c r="A14" s="60"/>
      <c r="B14" s="128"/>
      <c r="D14" s="60"/>
      <c r="E14" s="60"/>
      <c r="F14" s="60"/>
      <c r="G14" s="60"/>
      <c r="H14" s="60"/>
      <c r="I14" s="60"/>
      <c r="J14" s="60"/>
      <c r="K14" s="60"/>
      <c r="O14" s="6"/>
      <c r="P14" s="6"/>
      <c r="Q14" s="6"/>
      <c r="R14" s="6"/>
      <c r="S14" s="6"/>
    </row>
    <row r="15" spans="1:19" ht="12.75">
      <c r="A15" s="128"/>
      <c r="B15" s="128"/>
      <c r="C15" s="60"/>
      <c r="D15" s="60"/>
      <c r="E15" s="60"/>
      <c r="F15" s="60"/>
      <c r="G15" s="60"/>
      <c r="H15" s="60"/>
      <c r="I15" s="60"/>
      <c r="J15" s="60"/>
      <c r="K15" s="60"/>
      <c r="O15" s="6"/>
      <c r="P15" s="6"/>
      <c r="Q15" s="6"/>
      <c r="R15" s="6"/>
      <c r="S15" s="6"/>
    </row>
    <row r="16" spans="1:19" s="5" customFormat="1" ht="9.75" customHeight="1">
      <c r="A16" s="85"/>
      <c r="B16" s="86"/>
      <c r="C16" s="78"/>
      <c r="D16" s="79"/>
      <c r="E16" s="86"/>
      <c r="F16" s="79"/>
      <c r="G16" s="79"/>
      <c r="H16" s="86"/>
      <c r="I16" s="78"/>
      <c r="J16" s="79"/>
      <c r="K16" s="86"/>
      <c r="L16" s="127"/>
      <c r="M16" s="10"/>
      <c r="N16" s="10"/>
      <c r="O16" s="10"/>
      <c r="P16" s="10"/>
      <c r="Q16" s="10"/>
      <c r="R16" s="10"/>
      <c r="S16" s="10"/>
    </row>
    <row r="17" spans="1:19" ht="8.25" customHeight="1">
      <c r="A17" s="131"/>
      <c r="B17" s="132"/>
      <c r="C17" s="133"/>
      <c r="D17" s="134"/>
      <c r="E17" s="132"/>
      <c r="F17" s="241"/>
      <c r="G17" s="134"/>
      <c r="H17" s="132"/>
      <c r="I17" s="133"/>
      <c r="J17" s="134"/>
      <c r="K17" s="132"/>
      <c r="O17" s="6"/>
      <c r="P17" s="6"/>
      <c r="Q17" s="6"/>
      <c r="R17" s="6"/>
      <c r="S17" s="6"/>
    </row>
    <row r="18" spans="1:19" s="5" customFormat="1" ht="24.75" customHeight="1">
      <c r="A18" s="135"/>
      <c r="B18" s="148"/>
      <c r="C18" s="11"/>
      <c r="D18" s="11"/>
      <c r="E18" s="148"/>
      <c r="F18" s="11"/>
      <c r="G18" s="11"/>
      <c r="H18" s="149"/>
      <c r="I18" s="11"/>
      <c r="J18" s="11"/>
      <c r="K18" s="15"/>
      <c r="L18" s="10"/>
      <c r="M18" s="10"/>
      <c r="N18" s="10"/>
      <c r="O18" s="10"/>
      <c r="P18" s="10"/>
      <c r="Q18" s="10"/>
      <c r="R18" s="10"/>
      <c r="S18" s="10"/>
    </row>
    <row r="19" spans="1:19" ht="12.75">
      <c r="A19" s="60"/>
      <c r="B19" s="136"/>
      <c r="C19" s="60"/>
      <c r="D19" s="60"/>
      <c r="E19" s="136"/>
      <c r="F19" s="60"/>
      <c r="G19" s="60"/>
      <c r="H19" s="135"/>
      <c r="I19" s="60"/>
      <c r="J19" s="60"/>
      <c r="K19" s="135"/>
      <c r="O19" s="6"/>
      <c r="P19" s="6"/>
      <c r="Q19" s="6"/>
      <c r="R19" s="6"/>
      <c r="S19" s="6"/>
    </row>
    <row r="20" spans="1:19" ht="12.75">
      <c r="A20" s="60"/>
      <c r="B20" s="136"/>
      <c r="C20" s="60"/>
      <c r="D20" s="60"/>
      <c r="E20" s="136"/>
      <c r="F20" s="60"/>
      <c r="G20" s="60"/>
      <c r="H20" s="135"/>
      <c r="I20" s="60"/>
      <c r="J20" s="60"/>
      <c r="K20" s="135"/>
      <c r="O20" s="6"/>
      <c r="P20" s="6"/>
      <c r="Q20" s="6"/>
      <c r="R20" s="6"/>
      <c r="S20" s="6"/>
    </row>
    <row r="21" spans="1:19" ht="12.75">
      <c r="A21" s="60"/>
      <c r="B21" s="60"/>
      <c r="C21" s="60"/>
      <c r="D21" s="60"/>
      <c r="E21" s="60"/>
      <c r="F21" s="60"/>
      <c r="G21" s="140"/>
      <c r="H21" s="60"/>
      <c r="I21" s="60"/>
      <c r="J21" s="60"/>
      <c r="K21" s="60"/>
      <c r="O21" s="6"/>
      <c r="P21" s="6"/>
      <c r="Q21" s="6"/>
      <c r="R21" s="6"/>
      <c r="S21" s="6"/>
    </row>
    <row r="22" spans="1:19" ht="12.75">
      <c r="A22" s="60"/>
      <c r="B22" s="60"/>
      <c r="C22" s="60"/>
      <c r="D22" s="60"/>
      <c r="E22" s="141"/>
      <c r="F22" s="60"/>
      <c r="G22" s="60"/>
      <c r="H22" s="60"/>
      <c r="I22" s="60"/>
      <c r="J22" s="60"/>
      <c r="K22" s="60"/>
      <c r="O22" s="6"/>
      <c r="P22" s="6"/>
      <c r="Q22" s="6"/>
      <c r="R22" s="6"/>
      <c r="S22" s="6"/>
    </row>
    <row r="23" spans="1:19" ht="10.5" customHeight="1">
      <c r="A23" s="60"/>
      <c r="B23" s="60"/>
      <c r="C23" s="60"/>
      <c r="D23" s="60"/>
      <c r="E23" s="60"/>
      <c r="F23" s="60"/>
      <c r="G23" s="60"/>
      <c r="H23" s="60"/>
      <c r="I23" s="60"/>
      <c r="J23" s="60"/>
      <c r="K23" s="60"/>
      <c r="O23" s="6"/>
      <c r="P23" s="6"/>
      <c r="Q23" s="6"/>
      <c r="R23" s="6"/>
      <c r="S23" s="6"/>
    </row>
    <row r="24" spans="1:19" ht="18">
      <c r="A24" s="60"/>
      <c r="B24" s="81"/>
      <c r="C24" s="78"/>
      <c r="D24" s="79"/>
      <c r="E24" s="81"/>
      <c r="F24" s="79"/>
      <c r="G24" s="79"/>
      <c r="H24" s="81"/>
      <c r="I24" s="78"/>
      <c r="J24" s="79"/>
      <c r="K24" s="81"/>
      <c r="O24" s="6"/>
      <c r="P24" s="6"/>
      <c r="Q24" s="6"/>
      <c r="R24" s="6"/>
      <c r="S24" s="6"/>
    </row>
    <row r="25" spans="1:19" ht="12.75">
      <c r="A25" s="60"/>
      <c r="B25" s="60"/>
      <c r="C25" s="60"/>
      <c r="D25" s="60"/>
      <c r="E25" s="60"/>
      <c r="F25" s="60"/>
      <c r="G25" s="60"/>
      <c r="H25" s="60"/>
      <c r="I25" s="60"/>
      <c r="J25" s="60"/>
      <c r="K25" s="60"/>
      <c r="O25" s="6"/>
      <c r="P25" s="6"/>
      <c r="Q25" s="6"/>
      <c r="R25" s="6"/>
      <c r="S25" s="6"/>
    </row>
    <row r="26" spans="1:19" ht="12.75">
      <c r="A26" s="60"/>
      <c r="B26" s="60"/>
      <c r="C26" s="60"/>
      <c r="D26" s="60"/>
      <c r="E26" s="60"/>
      <c r="F26" s="60"/>
      <c r="G26" s="60"/>
      <c r="H26" s="60"/>
      <c r="I26" s="60"/>
      <c r="J26" s="60"/>
      <c r="K26" s="60"/>
      <c r="N26" s="6" t="s">
        <v>8</v>
      </c>
      <c r="O26" s="6"/>
      <c r="P26" s="6"/>
      <c r="Q26" s="6"/>
      <c r="R26" s="6"/>
      <c r="S26" s="6"/>
    </row>
    <row r="27" spans="1:19" ht="12.75">
      <c r="A27" s="60"/>
      <c r="B27" s="60"/>
      <c r="C27" s="60"/>
      <c r="D27" s="60"/>
      <c r="E27" s="60"/>
      <c r="F27" s="60"/>
      <c r="G27" s="60"/>
      <c r="H27" s="60"/>
      <c r="I27" s="60"/>
      <c r="J27" s="60"/>
      <c r="K27" s="60"/>
      <c r="O27" s="6"/>
      <c r="P27" s="6"/>
      <c r="Q27" s="6"/>
      <c r="R27" s="6"/>
      <c r="S27" s="6"/>
    </row>
    <row r="28" spans="1:19" ht="18" customHeight="1">
      <c r="A28" s="85"/>
      <c r="B28" s="22"/>
      <c r="C28" s="129"/>
      <c r="D28" s="22"/>
      <c r="E28" s="130"/>
      <c r="F28" s="22"/>
      <c r="G28" s="22"/>
      <c r="H28" s="22"/>
      <c r="I28" s="129"/>
      <c r="J28" s="22"/>
      <c r="K28" s="22"/>
      <c r="O28" s="6"/>
      <c r="P28" s="6"/>
      <c r="Q28" s="6"/>
      <c r="R28" s="6"/>
      <c r="S28" s="6"/>
    </row>
    <row r="29" spans="1:19" ht="18" customHeight="1">
      <c r="A29" s="85"/>
      <c r="B29" s="22"/>
      <c r="C29" s="129"/>
      <c r="D29" s="22"/>
      <c r="E29" s="130"/>
      <c r="F29" s="22"/>
      <c r="G29" s="22"/>
      <c r="H29" s="22"/>
      <c r="I29" s="129"/>
      <c r="J29" s="22"/>
      <c r="K29" s="22"/>
      <c r="O29" s="6"/>
      <c r="P29" s="6"/>
      <c r="Q29" s="6"/>
      <c r="R29" s="6"/>
      <c r="S29" s="6"/>
    </row>
    <row r="30" spans="1:19" ht="18" customHeight="1">
      <c r="A30" s="85"/>
      <c r="B30" s="86"/>
      <c r="C30" s="78"/>
      <c r="D30" s="79"/>
      <c r="E30" s="86"/>
      <c r="F30" s="79"/>
      <c r="G30" s="79"/>
      <c r="H30" s="86"/>
      <c r="I30" s="78"/>
      <c r="J30" s="79"/>
      <c r="K30" s="86"/>
      <c r="O30" s="6"/>
      <c r="P30" s="6"/>
      <c r="Q30" s="6"/>
      <c r="R30" s="6"/>
      <c r="S30" s="6"/>
    </row>
    <row r="31" spans="1:19" ht="18" customHeight="1">
      <c r="A31" s="85"/>
      <c r="B31" s="86"/>
      <c r="C31" s="78"/>
      <c r="D31" s="79"/>
      <c r="E31" s="86"/>
      <c r="F31" s="79"/>
      <c r="G31" s="79"/>
      <c r="H31" s="86"/>
      <c r="I31" s="78"/>
      <c r="J31" s="79"/>
      <c r="K31" s="86"/>
      <c r="O31" s="6"/>
      <c r="P31" s="6"/>
      <c r="Q31" s="6"/>
      <c r="R31" s="6"/>
      <c r="S31" s="6"/>
    </row>
    <row r="32" spans="1:19" ht="18" customHeight="1">
      <c r="A32" s="85"/>
      <c r="B32" s="86"/>
      <c r="C32" s="78"/>
      <c r="D32" s="79"/>
      <c r="E32" s="86"/>
      <c r="F32" s="79"/>
      <c r="G32" s="79"/>
      <c r="H32" s="86"/>
      <c r="I32" s="78"/>
      <c r="J32" s="79"/>
      <c r="K32" s="86"/>
      <c r="O32" s="6"/>
      <c r="P32" s="6"/>
      <c r="Q32" s="6"/>
      <c r="R32" s="6"/>
      <c r="S32" s="6"/>
    </row>
    <row r="33" spans="1:19" ht="18" customHeight="1">
      <c r="A33" s="85"/>
      <c r="B33" s="86"/>
      <c r="C33" s="78"/>
      <c r="D33" s="79"/>
      <c r="E33" s="86"/>
      <c r="F33" s="79"/>
      <c r="G33" s="79"/>
      <c r="H33" s="86"/>
      <c r="I33" s="78"/>
      <c r="J33" s="79"/>
      <c r="K33" s="86"/>
      <c r="O33" s="6"/>
      <c r="P33" s="6"/>
      <c r="Q33" s="6"/>
      <c r="R33" s="6"/>
      <c r="S33" s="6"/>
    </row>
    <row r="34" spans="1:19" ht="12.75">
      <c r="A34" s="60"/>
      <c r="B34" s="60"/>
      <c r="C34" s="60"/>
      <c r="D34" s="60"/>
      <c r="E34" s="60"/>
      <c r="F34" s="60"/>
      <c r="G34" s="60"/>
      <c r="H34" s="60"/>
      <c r="I34" s="60"/>
      <c r="J34" s="60"/>
      <c r="K34" s="60"/>
      <c r="O34" s="6"/>
      <c r="P34" s="6"/>
      <c r="Q34" s="6"/>
      <c r="R34" s="6"/>
      <c r="S34" s="6"/>
    </row>
    <row r="35" spans="1:19" ht="18">
      <c r="A35" s="135"/>
      <c r="B35" s="136"/>
      <c r="C35" s="78"/>
      <c r="D35" s="137"/>
      <c r="E35" s="136"/>
      <c r="F35" s="138"/>
      <c r="G35" s="137"/>
      <c r="H35" s="135"/>
      <c r="I35" s="139"/>
      <c r="J35" s="137"/>
      <c r="K35" s="135"/>
      <c r="O35" s="6"/>
      <c r="P35" s="6"/>
      <c r="Q35" s="6"/>
      <c r="R35" s="6"/>
      <c r="S35" s="6"/>
    </row>
    <row r="36" spans="1:19" ht="18">
      <c r="A36" s="135"/>
      <c r="B36" s="136"/>
      <c r="C36" s="78"/>
      <c r="D36" s="137"/>
      <c r="E36" s="136"/>
      <c r="F36" s="138"/>
      <c r="G36" s="137"/>
      <c r="H36" s="135"/>
      <c r="I36" s="139"/>
      <c r="J36" s="137"/>
      <c r="K36" s="135"/>
      <c r="O36" s="6"/>
      <c r="P36" s="6"/>
      <c r="Q36" s="6"/>
      <c r="R36" s="6"/>
      <c r="S36" s="6"/>
    </row>
    <row r="37" spans="1:19" ht="24.75" customHeight="1">
      <c r="A37" s="135"/>
      <c r="B37" s="136"/>
      <c r="C37" s="78"/>
      <c r="D37" s="137"/>
      <c r="E37" s="136"/>
      <c r="F37" s="138"/>
      <c r="G37" s="137"/>
      <c r="H37" s="135"/>
      <c r="I37" s="139"/>
      <c r="J37" s="137"/>
      <c r="K37" s="135"/>
      <c r="O37" s="6"/>
      <c r="P37" s="6"/>
      <c r="Q37" s="6"/>
      <c r="R37" s="6"/>
      <c r="S37" s="6"/>
    </row>
    <row r="38" spans="2:19" ht="24.75" customHeight="1">
      <c r="B38" s="17"/>
      <c r="E38" s="17"/>
      <c r="H38" s="15"/>
      <c r="K38" s="15"/>
      <c r="O38" s="6"/>
      <c r="P38" s="6"/>
      <c r="Q38" s="6"/>
      <c r="R38" s="6"/>
      <c r="S38" s="6"/>
    </row>
    <row r="39" spans="1:19" ht="24.75" customHeight="1">
      <c r="A39" s="15"/>
      <c r="B39" s="17"/>
      <c r="C39" s="9"/>
      <c r="D39" s="16"/>
      <c r="E39" s="17"/>
      <c r="F39" s="80" t="s">
        <v>8</v>
      </c>
      <c r="G39" s="16"/>
      <c r="H39" s="15"/>
      <c r="I39" s="8"/>
      <c r="J39" s="16"/>
      <c r="K39" s="15"/>
      <c r="O39" s="6"/>
      <c r="P39" s="6"/>
      <c r="Q39" s="6"/>
      <c r="R39" s="6"/>
      <c r="S39" s="6"/>
    </row>
    <row r="40" spans="2:19" ht="24.75" customHeight="1">
      <c r="B40" s="17"/>
      <c r="E40" s="17"/>
      <c r="H40" s="15"/>
      <c r="K40" s="15"/>
      <c r="M40" s="6" t="s">
        <v>8</v>
      </c>
      <c r="O40" s="6"/>
      <c r="P40" s="6"/>
      <c r="Q40" s="6"/>
      <c r="R40" s="6"/>
      <c r="S40" s="6"/>
    </row>
    <row r="41" spans="15:19" ht="12.75">
      <c r="O41" s="6"/>
      <c r="P41" s="6"/>
      <c r="Q41" s="6"/>
      <c r="R41" s="6"/>
      <c r="S41" s="6"/>
    </row>
    <row r="42" spans="15:19" ht="12.75">
      <c r="O42" s="6"/>
      <c r="P42" s="6"/>
      <c r="Q42" s="6"/>
      <c r="R42" s="6"/>
      <c r="S42" s="6"/>
    </row>
    <row r="43" spans="13:19" ht="12.75">
      <c r="M43" s="6" t="s">
        <v>8</v>
      </c>
      <c r="O43" s="6"/>
      <c r="P43" s="6"/>
      <c r="Q43" s="6"/>
      <c r="R43" s="6"/>
      <c r="S43" s="6"/>
    </row>
    <row r="44" spans="15:19" ht="12.75">
      <c r="O44" s="6"/>
      <c r="P44" s="6"/>
      <c r="Q44" s="6"/>
      <c r="R44" s="6"/>
      <c r="S44" s="6"/>
    </row>
    <row r="45" spans="15:19" ht="12.75">
      <c r="O45" s="6"/>
      <c r="P45" s="6"/>
      <c r="Q45" s="6"/>
      <c r="R45" s="6"/>
      <c r="S45" s="6"/>
    </row>
    <row r="46" spans="15:19" ht="12.75">
      <c r="O46" s="6"/>
      <c r="P46" s="6"/>
      <c r="Q46" s="6"/>
      <c r="R46" s="6"/>
      <c r="S46" s="6"/>
    </row>
    <row r="47" spans="15:19" ht="12.75">
      <c r="O47" s="6"/>
      <c r="P47" s="6"/>
      <c r="Q47" s="6"/>
      <c r="R47" s="6"/>
      <c r="S47" s="6"/>
    </row>
    <row r="48" spans="15:19" ht="12.75">
      <c r="O48" s="6"/>
      <c r="P48" s="6"/>
      <c r="Q48" s="6"/>
      <c r="R48" s="6"/>
      <c r="S48" s="6"/>
    </row>
    <row r="49" spans="15:19" ht="12.75">
      <c r="O49" s="6"/>
      <c r="P49" s="6"/>
      <c r="Q49" s="6"/>
      <c r="R49" s="6"/>
      <c r="S49" s="6"/>
    </row>
    <row r="50" spans="15:19" ht="12.75">
      <c r="O50" s="6"/>
      <c r="P50" s="6"/>
      <c r="Q50" s="6"/>
      <c r="R50" s="6"/>
      <c r="S50" s="6"/>
    </row>
    <row r="51" spans="15:19" ht="12.75">
      <c r="O51" s="6"/>
      <c r="P51" s="6"/>
      <c r="Q51" s="6"/>
      <c r="R51" s="6"/>
      <c r="S51" s="6"/>
    </row>
    <row r="52" spans="15:19" ht="12.75">
      <c r="O52" s="6"/>
      <c r="P52" s="6"/>
      <c r="Q52" s="6"/>
      <c r="R52" s="6"/>
      <c r="S52" s="6"/>
    </row>
    <row r="53" spans="15:19" ht="12.75">
      <c r="O53" s="6"/>
      <c r="P53" s="6"/>
      <c r="Q53" s="6"/>
      <c r="R53" s="6"/>
      <c r="S53" s="6"/>
    </row>
    <row r="54" spans="15:19" ht="12.75">
      <c r="O54" s="6"/>
      <c r="P54" s="6"/>
      <c r="Q54" s="6"/>
      <c r="R54" s="6"/>
      <c r="S54" s="6"/>
    </row>
    <row r="55" spans="15:19" ht="12.75">
      <c r="O55" s="6"/>
      <c r="P55" s="6"/>
      <c r="Q55" s="6"/>
      <c r="R55" s="6"/>
      <c r="S55" s="6"/>
    </row>
    <row r="56" spans="15:19" ht="12.75">
      <c r="O56" s="6"/>
      <c r="P56" s="6"/>
      <c r="Q56" s="6"/>
      <c r="R56" s="6"/>
      <c r="S56" s="6"/>
    </row>
    <row r="57" spans="15:19" ht="12.75">
      <c r="O57" s="6"/>
      <c r="P57" s="6"/>
      <c r="Q57" s="6"/>
      <c r="R57" s="6"/>
      <c r="S57" s="6"/>
    </row>
    <row r="58" spans="15:19" ht="12.75">
      <c r="O58" s="6"/>
      <c r="P58" s="6"/>
      <c r="Q58" s="6"/>
      <c r="R58" s="6"/>
      <c r="S58" s="6"/>
    </row>
    <row r="59" spans="15:19" ht="12.75">
      <c r="O59" s="6"/>
      <c r="P59" s="6"/>
      <c r="Q59" s="6"/>
      <c r="R59" s="6"/>
      <c r="S59" s="6"/>
    </row>
    <row r="60" spans="15:19" ht="12.75">
      <c r="O60" s="6"/>
      <c r="P60" s="6"/>
      <c r="Q60" s="6"/>
      <c r="R60" s="6"/>
      <c r="S60" s="6"/>
    </row>
    <row r="61" spans="15:19" ht="12.75">
      <c r="O61" s="6"/>
      <c r="P61" s="6"/>
      <c r="Q61" s="6"/>
      <c r="R61" s="6"/>
      <c r="S61" s="6"/>
    </row>
    <row r="62" spans="15:19" ht="12.75">
      <c r="O62" s="6"/>
      <c r="P62" s="6"/>
      <c r="Q62" s="6"/>
      <c r="R62" s="6"/>
      <c r="S62" s="6"/>
    </row>
    <row r="63" spans="15:19" ht="12.75">
      <c r="O63" s="6"/>
      <c r="P63" s="6"/>
      <c r="Q63" s="6"/>
      <c r="R63" s="6"/>
      <c r="S63" s="6"/>
    </row>
    <row r="64" spans="15:19" ht="12.75">
      <c r="O64" s="6"/>
      <c r="P64" s="6"/>
      <c r="Q64" s="6"/>
      <c r="R64" s="6"/>
      <c r="S64" s="6"/>
    </row>
    <row r="65" spans="15:19" ht="12.75">
      <c r="O65" s="6"/>
      <c r="P65" s="6"/>
      <c r="Q65" s="6"/>
      <c r="R65" s="6"/>
      <c r="S65" s="6"/>
    </row>
    <row r="66" spans="15:19" ht="12.75">
      <c r="O66" s="6"/>
      <c r="P66" s="6"/>
      <c r="Q66" s="6"/>
      <c r="R66" s="6"/>
      <c r="S66" s="6"/>
    </row>
    <row r="67" spans="15:19" ht="12.75">
      <c r="O67" s="6"/>
      <c r="P67" s="6"/>
      <c r="Q67" s="6"/>
      <c r="R67" s="6"/>
      <c r="S67" s="6"/>
    </row>
    <row r="68" spans="15:19" ht="12.75">
      <c r="O68" s="6"/>
      <c r="P68" s="6"/>
      <c r="Q68" s="6"/>
      <c r="R68" s="6"/>
      <c r="S68" s="6"/>
    </row>
    <row r="69" spans="15:19" ht="12.75">
      <c r="O69" s="6"/>
      <c r="P69" s="6"/>
      <c r="Q69" s="6"/>
      <c r="R69" s="6"/>
      <c r="S69" s="6"/>
    </row>
    <row r="70" spans="15:19" ht="12.75">
      <c r="O70" s="6"/>
      <c r="P70" s="6"/>
      <c r="Q70" s="6"/>
      <c r="R70" s="6"/>
      <c r="S70" s="6"/>
    </row>
    <row r="71" spans="15:19" ht="12.75">
      <c r="O71" s="6"/>
      <c r="P71" s="6"/>
      <c r="Q71" s="6"/>
      <c r="R71" s="6"/>
      <c r="S71" s="6"/>
    </row>
    <row r="72" spans="15:19" ht="12.75">
      <c r="O72" s="6"/>
      <c r="P72" s="6"/>
      <c r="Q72" s="6"/>
      <c r="R72" s="6"/>
      <c r="S72" s="6"/>
    </row>
    <row r="73" spans="15:19" ht="12.75">
      <c r="O73" s="6"/>
      <c r="P73" s="6"/>
      <c r="Q73" s="6"/>
      <c r="R73" s="6"/>
      <c r="S73" s="6"/>
    </row>
    <row r="74" spans="15:19" ht="12.75">
      <c r="O74" s="6"/>
      <c r="P74" s="6"/>
      <c r="Q74" s="6"/>
      <c r="R74" s="6"/>
      <c r="S74" s="6"/>
    </row>
    <row r="75" spans="15:19" ht="12.75">
      <c r="O75" s="6"/>
      <c r="P75" s="6"/>
      <c r="Q75" s="6"/>
      <c r="R75" s="6"/>
      <c r="S75" s="6"/>
    </row>
    <row r="76" spans="15:19" ht="12.75">
      <c r="O76" s="6"/>
      <c r="P76" s="6"/>
      <c r="Q76" s="6"/>
      <c r="R76" s="6"/>
      <c r="S76" s="6"/>
    </row>
    <row r="77" spans="15:19" ht="12.75">
      <c r="O77" s="6"/>
      <c r="P77" s="6"/>
      <c r="Q77" s="6"/>
      <c r="R77" s="6"/>
      <c r="S77" s="6"/>
    </row>
    <row r="78" spans="15:19" ht="12.75">
      <c r="O78" s="6"/>
      <c r="P78" s="6"/>
      <c r="Q78" s="6"/>
      <c r="R78" s="6"/>
      <c r="S78" s="6"/>
    </row>
    <row r="79" spans="15:19" ht="12.75">
      <c r="O79" s="6"/>
      <c r="P79" s="6"/>
      <c r="Q79" s="6"/>
      <c r="R79" s="6"/>
      <c r="S79" s="6"/>
    </row>
    <row r="80" spans="15:19" ht="12.75">
      <c r="O80" s="6"/>
      <c r="P80" s="6"/>
      <c r="Q80" s="6"/>
      <c r="R80" s="6"/>
      <c r="S80" s="6"/>
    </row>
    <row r="81" spans="15:19" ht="12.75">
      <c r="O81" s="6"/>
      <c r="P81" s="6"/>
      <c r="Q81" s="6"/>
      <c r="R81" s="6"/>
      <c r="S81" s="6"/>
    </row>
    <row r="82" spans="15:19" ht="12.75">
      <c r="O82" s="6"/>
      <c r="P82" s="6"/>
      <c r="Q82" s="6"/>
      <c r="R82" s="6"/>
      <c r="S82" s="6"/>
    </row>
    <row r="83" spans="15:19" ht="12.75">
      <c r="O83" s="6"/>
      <c r="P83" s="6"/>
      <c r="Q83" s="6"/>
      <c r="R83" s="6"/>
      <c r="S83" s="6"/>
    </row>
    <row r="84" spans="15:19" ht="12.75">
      <c r="O84" s="6"/>
      <c r="P84" s="6"/>
      <c r="Q84" s="6"/>
      <c r="R84" s="6"/>
      <c r="S84" s="6"/>
    </row>
    <row r="85" spans="15:19" ht="12.75">
      <c r="O85" s="6"/>
      <c r="P85" s="6"/>
      <c r="Q85" s="6"/>
      <c r="R85" s="6"/>
      <c r="S85" s="6"/>
    </row>
    <row r="86" spans="15:19" ht="12.75">
      <c r="O86" s="6"/>
      <c r="P86" s="6"/>
      <c r="Q86" s="6"/>
      <c r="R86" s="6"/>
      <c r="S86" s="6"/>
    </row>
    <row r="87" spans="15:19" ht="12.75">
      <c r="O87" s="6"/>
      <c r="P87" s="6"/>
      <c r="Q87" s="6"/>
      <c r="R87" s="6"/>
      <c r="S87" s="6"/>
    </row>
    <row r="88" spans="15:19" ht="12.75">
      <c r="O88" s="6"/>
      <c r="P88" s="6"/>
      <c r="Q88" s="6"/>
      <c r="R88" s="6"/>
      <c r="S88" s="6"/>
    </row>
    <row r="89" spans="15:19" ht="12.75">
      <c r="O89" s="6"/>
      <c r="P89" s="6"/>
      <c r="Q89" s="6"/>
      <c r="R89" s="6"/>
      <c r="S89" s="6"/>
    </row>
    <row r="90" spans="15:19" ht="12.75">
      <c r="O90" s="6"/>
      <c r="P90" s="6"/>
      <c r="Q90" s="6"/>
      <c r="R90" s="6"/>
      <c r="S90" s="6"/>
    </row>
    <row r="91" spans="15:19" ht="12.75">
      <c r="O91" s="6"/>
      <c r="P91" s="6"/>
      <c r="Q91" s="6"/>
      <c r="R91" s="6"/>
      <c r="S91" s="6"/>
    </row>
    <row r="92" spans="15:19" ht="12.75">
      <c r="O92" s="6"/>
      <c r="P92" s="6"/>
      <c r="Q92" s="6"/>
      <c r="R92" s="6"/>
      <c r="S92" s="6"/>
    </row>
    <row r="93" spans="15:19" ht="12.75">
      <c r="O93" s="6"/>
      <c r="P93" s="6"/>
      <c r="Q93" s="6"/>
      <c r="R93" s="6"/>
      <c r="S93" s="6"/>
    </row>
    <row r="94" spans="15:19" ht="12.75">
      <c r="O94" s="6"/>
      <c r="P94" s="6"/>
      <c r="Q94" s="6"/>
      <c r="R94" s="6"/>
      <c r="S94" s="6"/>
    </row>
    <row r="95" spans="15:19" ht="12.75">
      <c r="O95" s="6"/>
      <c r="P95" s="6"/>
      <c r="Q95" s="6"/>
      <c r="R95" s="6"/>
      <c r="S95" s="6"/>
    </row>
    <row r="96" spans="15:19" ht="12.75">
      <c r="O96" s="6"/>
      <c r="P96" s="6"/>
      <c r="Q96" s="6"/>
      <c r="R96" s="6"/>
      <c r="S96" s="6"/>
    </row>
    <row r="97" spans="15:19" ht="12.75">
      <c r="O97" s="6"/>
      <c r="P97" s="6"/>
      <c r="Q97" s="6"/>
      <c r="R97" s="6"/>
      <c r="S97" s="6"/>
    </row>
    <row r="98" spans="15:19" ht="12.75">
      <c r="O98" s="6"/>
      <c r="P98" s="6"/>
      <c r="Q98" s="6"/>
      <c r="R98" s="6"/>
      <c r="S98" s="6"/>
    </row>
    <row r="99" spans="15:19" ht="12.75">
      <c r="O99" s="6"/>
      <c r="P99" s="6"/>
      <c r="Q99" s="6"/>
      <c r="R99" s="6"/>
      <c r="S99" s="6"/>
    </row>
    <row r="100" spans="15:19" ht="12.75">
      <c r="O100" s="6"/>
      <c r="P100" s="6"/>
      <c r="Q100" s="6"/>
      <c r="R100" s="6"/>
      <c r="S100" s="6"/>
    </row>
    <row r="101" spans="15:19" ht="12.75">
      <c r="O101" s="6"/>
      <c r="P101" s="6"/>
      <c r="Q101" s="6"/>
      <c r="R101" s="6"/>
      <c r="S101" s="6"/>
    </row>
    <row r="102" spans="15:19" ht="12.75">
      <c r="O102" s="6"/>
      <c r="P102" s="6"/>
      <c r="Q102" s="6"/>
      <c r="R102" s="6"/>
      <c r="S102" s="6"/>
    </row>
    <row r="103" spans="15:19" ht="12.75">
      <c r="O103" s="6"/>
      <c r="P103" s="6"/>
      <c r="Q103" s="6"/>
      <c r="R103" s="6"/>
      <c r="S103" s="6"/>
    </row>
    <row r="104" spans="15:19" ht="12.75">
      <c r="O104" s="6"/>
      <c r="P104" s="6"/>
      <c r="Q104" s="6"/>
      <c r="R104" s="6"/>
      <c r="S104" s="6"/>
    </row>
    <row r="105" spans="15:19" ht="12.75">
      <c r="O105" s="6"/>
      <c r="P105" s="6"/>
      <c r="Q105" s="6"/>
      <c r="R105" s="6"/>
      <c r="S105" s="6"/>
    </row>
    <row r="106" spans="15:19" ht="12.75">
      <c r="O106" s="6"/>
      <c r="P106" s="6"/>
      <c r="Q106" s="6"/>
      <c r="R106" s="6"/>
      <c r="S106" s="6"/>
    </row>
    <row r="107" spans="15:19" ht="12.75">
      <c r="O107" s="6"/>
      <c r="P107" s="6"/>
      <c r="Q107" s="6"/>
      <c r="R107" s="6"/>
      <c r="S107" s="6"/>
    </row>
    <row r="108" spans="15:19" ht="12.75">
      <c r="O108" s="6"/>
      <c r="P108" s="6"/>
      <c r="Q108" s="6"/>
      <c r="R108" s="6"/>
      <c r="S108" s="6"/>
    </row>
    <row r="109" spans="15:19" ht="12.75">
      <c r="O109" s="6"/>
      <c r="P109" s="6"/>
      <c r="Q109" s="6"/>
      <c r="R109" s="6"/>
      <c r="S109" s="6"/>
    </row>
    <row r="110" spans="15:19" ht="12.75">
      <c r="O110" s="6"/>
      <c r="P110" s="6"/>
      <c r="Q110" s="6"/>
      <c r="R110" s="6"/>
      <c r="S110" s="6"/>
    </row>
    <row r="111" spans="15:19" ht="12.75">
      <c r="O111" s="6"/>
      <c r="P111" s="6"/>
      <c r="Q111" s="6"/>
      <c r="R111" s="6"/>
      <c r="S111" s="6"/>
    </row>
    <row r="112" spans="15:19" ht="12.75">
      <c r="O112" s="6"/>
      <c r="P112" s="6"/>
      <c r="Q112" s="6"/>
      <c r="R112" s="6"/>
      <c r="S112" s="6"/>
    </row>
    <row r="113" spans="15:19" ht="12.75">
      <c r="O113" s="6"/>
      <c r="P113" s="6"/>
      <c r="Q113" s="6"/>
      <c r="R113" s="6"/>
      <c r="S113" s="6"/>
    </row>
    <row r="114" spans="15:19" ht="12.75">
      <c r="O114" s="6"/>
      <c r="P114" s="6"/>
      <c r="Q114" s="6"/>
      <c r="R114" s="6"/>
      <c r="S114" s="6"/>
    </row>
    <row r="115" spans="15:19" ht="12.75">
      <c r="O115" s="6"/>
      <c r="P115" s="6"/>
      <c r="Q115" s="6"/>
      <c r="R115" s="6"/>
      <c r="S115" s="6"/>
    </row>
    <row r="116" spans="15:19" ht="12.75">
      <c r="O116" s="6"/>
      <c r="P116" s="6"/>
      <c r="Q116" s="6"/>
      <c r="R116" s="6"/>
      <c r="S116" s="6"/>
    </row>
    <row r="117" spans="15:19" ht="12.75">
      <c r="O117" s="6"/>
      <c r="P117" s="6"/>
      <c r="Q117" s="6"/>
      <c r="R117" s="6"/>
      <c r="S117" s="6"/>
    </row>
    <row r="118" spans="15:19" ht="12.75">
      <c r="O118" s="6"/>
      <c r="P118" s="6"/>
      <c r="Q118" s="6"/>
      <c r="R118" s="6"/>
      <c r="S118" s="6"/>
    </row>
    <row r="119" spans="15:19" ht="12.75">
      <c r="O119" s="6"/>
      <c r="P119" s="6"/>
      <c r="Q119" s="6"/>
      <c r="R119" s="6"/>
      <c r="S119" s="6"/>
    </row>
    <row r="120" spans="15:19" ht="12.75">
      <c r="O120" s="6"/>
      <c r="P120" s="6"/>
      <c r="Q120" s="6"/>
      <c r="R120" s="6"/>
      <c r="S120" s="6"/>
    </row>
    <row r="121" spans="15:19" ht="12.75">
      <c r="O121" s="6"/>
      <c r="P121" s="6"/>
      <c r="Q121" s="6"/>
      <c r="R121" s="6"/>
      <c r="S121" s="6"/>
    </row>
    <row r="122" spans="15:19" ht="12.75">
      <c r="O122" s="6"/>
      <c r="P122" s="6"/>
      <c r="Q122" s="6"/>
      <c r="R122" s="6"/>
      <c r="S122" s="6"/>
    </row>
  </sheetData>
  <dataValidations count="1">
    <dataValidation type="whole" allowBlank="1" showInputMessage="1" showErrorMessage="1" sqref="J16:J17 A28:A29 J28:J33 D16:D17 D24 G24 J24 G28:G33 D28:D33 G16:G17">
      <formula1>1</formula1>
      <formula2>5</formula2>
    </dataValidation>
  </dataValidations>
  <printOptions/>
  <pageMargins left="0.75" right="0.75" top="1" bottom="1" header="0.4921259845" footer="0.4921259845"/>
  <pageSetup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6"/>
  <dimension ref="A1:IT62"/>
  <sheetViews>
    <sheetView showGridLines="0" showRowColHeaders="0" workbookViewId="0" topLeftCell="A1">
      <selection activeCell="A70" sqref="A70"/>
    </sheetView>
  </sheetViews>
  <sheetFormatPr defaultColWidth="11.421875" defaultRowHeight="12.75"/>
  <cols>
    <col min="1" max="1" width="9.57421875" style="0" customWidth="1"/>
    <col min="2" max="2" width="8.28125" style="0" customWidth="1"/>
    <col min="3" max="3" width="2.7109375" style="0" customWidth="1"/>
    <col min="4" max="4" width="0.13671875" style="0" customWidth="1"/>
    <col min="5" max="5" width="7.00390625" style="0" customWidth="1"/>
    <col min="6" max="6" width="0.85546875" style="0" customWidth="1"/>
    <col min="7" max="7" width="2.140625" style="0" customWidth="1"/>
    <col min="8" max="8" width="3.57421875" style="0" customWidth="1"/>
    <col min="9" max="9" width="1.421875" style="0" customWidth="1"/>
    <col min="10" max="10" width="1.7109375" style="0" customWidth="1"/>
    <col min="11" max="11" width="8.57421875" style="0" customWidth="1"/>
    <col min="12" max="12" width="8.7109375" style="0" customWidth="1"/>
    <col min="13" max="13" width="7.140625" style="0" customWidth="1"/>
    <col min="14" max="14" width="0.85546875" style="0" customWidth="1"/>
    <col min="15" max="15" width="0.2890625" style="0" customWidth="1"/>
    <col min="16" max="16" width="3.140625" style="0" customWidth="1"/>
    <col min="17" max="17" width="1.421875" style="0" customWidth="1"/>
    <col min="18" max="18" width="8.140625" style="0" customWidth="1"/>
    <col min="19" max="19" width="0.2890625" style="0" customWidth="1"/>
    <col min="20" max="20" width="2.140625" style="0" customWidth="1"/>
    <col min="21" max="21" width="4.28125" style="0" customWidth="1"/>
    <col min="22" max="22" width="8.421875" style="0" customWidth="1"/>
    <col min="23" max="23" width="1.7109375" style="0" customWidth="1"/>
    <col min="24" max="24" width="4.7109375" style="0" customWidth="1"/>
    <col min="25" max="25" width="8.7109375" style="0" customWidth="1"/>
    <col min="26" max="26" width="7.421875" style="0" customWidth="1"/>
    <col min="27" max="28" width="11.421875" style="6" customWidth="1"/>
  </cols>
  <sheetData>
    <row r="1" spans="1:36" ht="25.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417">
        <f>C_becher*V_becher/1000</f>
        <v>0.005</v>
      </c>
      <c r="AC1" s="6"/>
      <c r="AD1" s="6"/>
      <c r="AE1" s="6"/>
      <c r="AF1" s="6"/>
      <c r="AG1" s="6"/>
      <c r="AH1" s="6"/>
      <c r="AI1" s="6"/>
      <c r="AJ1" s="6"/>
    </row>
    <row r="2" spans="1:36" ht="15" customHeight="1">
      <c r="A2" s="71" t="s">
        <v>53</v>
      </c>
      <c r="B2" s="6"/>
      <c r="C2" s="6" t="s">
        <v>58</v>
      </c>
      <c r="D2" s="6"/>
      <c r="F2" s="6"/>
      <c r="G2" s="74"/>
      <c r="H2" s="6"/>
      <c r="I2" s="6"/>
      <c r="J2" s="6"/>
      <c r="K2" s="60"/>
      <c r="L2" s="60"/>
      <c r="M2" s="6"/>
      <c r="N2" s="6"/>
      <c r="O2" s="6"/>
      <c r="P2" s="6"/>
      <c r="Q2" s="6"/>
      <c r="R2" s="12"/>
      <c r="S2" s="12"/>
      <c r="T2" s="119"/>
      <c r="V2" s="19">
        <v>1</v>
      </c>
      <c r="W2" s="6"/>
      <c r="X2" s="120">
        <v>50</v>
      </c>
      <c r="Z2" s="6"/>
      <c r="AA2" s="417">
        <f>C_burette*0.025</f>
        <v>0.002</v>
      </c>
      <c r="AC2" s="6"/>
      <c r="AD2" s="6"/>
      <c r="AE2" s="6"/>
      <c r="AF2" s="6"/>
      <c r="AG2" s="6"/>
      <c r="AH2" s="6"/>
      <c r="AI2" s="6"/>
      <c r="AJ2" s="6"/>
    </row>
    <row r="3" spans="1:36" ht="0.75" customHeight="1">
      <c r="A3" s="77">
        <f>2500-B3</f>
        <v>0</v>
      </c>
      <c r="B3" s="77">
        <v>2500</v>
      </c>
      <c r="C3" s="105">
        <f>A3</f>
        <v>0</v>
      </c>
      <c r="D3" s="26">
        <f>25-A3/100</f>
        <v>25</v>
      </c>
      <c r="E3" s="26">
        <f>25-A3/100</f>
        <v>25</v>
      </c>
      <c r="F3" s="13"/>
      <c r="G3" s="74"/>
      <c r="H3" s="242">
        <f>IF(N_init_réactif_2&gt;=N_init_réactif_1/coef_réact_1,0,10+V_becher+V_eau_cond1+V_burette)</f>
        <v>60</v>
      </c>
      <c r="I3" s="13"/>
      <c r="J3" s="28">
        <v>5</v>
      </c>
      <c r="K3" s="13">
        <v>150</v>
      </c>
      <c r="L3" s="13"/>
      <c r="M3" s="13">
        <v>100</v>
      </c>
      <c r="N3" s="13"/>
      <c r="O3" s="13"/>
      <c r="P3" s="13"/>
      <c r="Q3" s="14">
        <f>IF(ISBLANK([0]!coef_réactif2),1,[0]!coef_réactif2)</f>
        <v>1</v>
      </c>
      <c r="R3" s="13">
        <v>1</v>
      </c>
      <c r="S3" s="14">
        <f>IF(ISBLANK(U6),1,U6)</f>
        <v>5</v>
      </c>
      <c r="T3" s="13"/>
      <c r="U3" s="28">
        <v>5</v>
      </c>
      <c r="V3" s="13">
        <v>0</v>
      </c>
      <c r="W3" s="13"/>
      <c r="X3" s="28">
        <f>1</f>
        <v>1</v>
      </c>
      <c r="Y3" s="13">
        <f>IF(N_init_réactif_2&lt;N_init_réactif_1/coef_réact_1,0,10+V_becher+V_eau_cond1+V_burette)</f>
        <v>0</v>
      </c>
      <c r="Z3" s="385">
        <f>MAX(AA1:AA2)*1.05</f>
        <v>0.00525</v>
      </c>
      <c r="AC3" s="6"/>
      <c r="AD3" s="6"/>
      <c r="AE3" s="6"/>
      <c r="AF3" s="6"/>
      <c r="AG3" s="6"/>
      <c r="AH3" s="6"/>
      <c r="AI3" s="6"/>
      <c r="AJ3" s="6"/>
    </row>
    <row r="4" spans="1:36" ht="0.75" customHeight="1">
      <c r="A4" s="77"/>
      <c r="B4" s="77"/>
      <c r="C4" s="372"/>
      <c r="D4" s="373"/>
      <c r="E4" s="373"/>
      <c r="F4" s="373"/>
      <c r="G4" s="373"/>
      <c r="H4" s="373"/>
      <c r="I4" s="373"/>
      <c r="J4" s="22"/>
      <c r="K4" s="373"/>
      <c r="L4" s="373"/>
      <c r="M4" s="373"/>
      <c r="N4" s="373"/>
      <c r="O4" s="373"/>
      <c r="P4" s="373"/>
      <c r="Q4" s="77"/>
      <c r="R4" s="373"/>
      <c r="S4" s="373"/>
      <c r="T4" s="373"/>
      <c r="U4" s="373"/>
      <c r="V4" s="373"/>
      <c r="W4" s="373"/>
      <c r="X4" s="373"/>
      <c r="Y4" s="373"/>
      <c r="Z4" s="60"/>
      <c r="AC4" s="6"/>
      <c r="AD4" s="6"/>
      <c r="AE4" s="6"/>
      <c r="AF4" s="6"/>
      <c r="AG4" s="6"/>
      <c r="AH4" s="6"/>
      <c r="AI4" s="6"/>
      <c r="AJ4" s="6"/>
    </row>
    <row r="5" spans="1:36" ht="0.75" customHeight="1" thickBot="1">
      <c r="A5" s="316"/>
      <c r="B5" s="316"/>
      <c r="C5" s="317"/>
      <c r="D5" s="60"/>
      <c r="E5" s="60"/>
      <c r="F5" s="60"/>
      <c r="G5" s="318"/>
      <c r="H5" s="60"/>
      <c r="I5" s="319"/>
      <c r="J5" s="319" t="s">
        <v>8</v>
      </c>
      <c r="K5" s="86"/>
      <c r="L5" s="86"/>
      <c r="M5" s="320"/>
      <c r="N5" s="60"/>
      <c r="O5" s="319"/>
      <c r="P5" s="321"/>
      <c r="Q5" s="322"/>
      <c r="R5" s="320"/>
      <c r="S5" s="319"/>
      <c r="T5" s="323"/>
      <c r="U5" s="60"/>
      <c r="V5" s="315"/>
      <c r="W5" s="322"/>
      <c r="X5" s="60"/>
      <c r="Y5" s="315"/>
      <c r="Z5" s="60"/>
      <c r="AC5" s="6"/>
      <c r="AD5" s="6"/>
      <c r="AE5" s="6"/>
      <c r="AF5" s="6"/>
      <c r="AG5" s="6"/>
      <c r="AH5" s="6"/>
      <c r="AI5" s="6"/>
      <c r="AJ5" s="6"/>
    </row>
    <row r="6" spans="1:36" ht="16.5" customHeight="1" thickBot="1">
      <c r="A6" s="300" t="s">
        <v>0</v>
      </c>
      <c r="B6" s="301"/>
      <c r="C6" s="301"/>
      <c r="D6" s="301"/>
      <c r="E6" s="302"/>
      <c r="F6" s="302"/>
      <c r="G6" s="302"/>
      <c r="H6" s="302"/>
      <c r="I6" s="302"/>
      <c r="J6" s="287">
        <f>coef_réact_1</f>
        <v>5</v>
      </c>
      <c r="K6" s="369" t="s">
        <v>37</v>
      </c>
      <c r="L6" s="333" t="s">
        <v>41</v>
      </c>
      <c r="M6" s="304" t="s">
        <v>6</v>
      </c>
      <c r="N6" s="304"/>
      <c r="O6" s="302"/>
      <c r="P6" s="302"/>
      <c r="Q6" s="303">
        <f>IF(OR(ISBLANK([0]!coef_réactif2),[0]!coef_réactif2=1),"",[0]!coef_réactif2)</f>
      </c>
      <c r="R6" s="287" t="s">
        <v>23</v>
      </c>
      <c r="S6" s="305"/>
      <c r="T6" s="360" t="s">
        <v>12</v>
      </c>
      <c r="U6" s="306">
        <f>coef_prod1</f>
        <v>5</v>
      </c>
      <c r="V6" s="369" t="s">
        <v>25</v>
      </c>
      <c r="W6" s="307"/>
      <c r="X6" s="355" t="s">
        <v>6</v>
      </c>
      <c r="Y6" s="287" t="s">
        <v>40</v>
      </c>
      <c r="Z6" s="334" t="s">
        <v>42</v>
      </c>
      <c r="AC6" s="86"/>
      <c r="AD6" s="86"/>
      <c r="AE6" s="6"/>
      <c r="AF6" s="6"/>
      <c r="AG6" s="6"/>
      <c r="AH6" s="6"/>
      <c r="AI6" s="6"/>
      <c r="AJ6" s="6"/>
    </row>
    <row r="7" spans="1:36" ht="11.25" customHeight="1">
      <c r="A7" s="82" t="s">
        <v>1</v>
      </c>
      <c r="B7" s="103" t="s">
        <v>20</v>
      </c>
      <c r="C7" s="62" t="s">
        <v>19</v>
      </c>
      <c r="D7" s="63"/>
      <c r="E7" s="324">
        <f>""</f>
      </c>
      <c r="F7" s="325"/>
      <c r="G7" s="325"/>
      <c r="H7" s="368" t="s">
        <v>38</v>
      </c>
      <c r="I7" s="326"/>
      <c r="J7" s="325"/>
      <c r="K7" s="327"/>
      <c r="L7" s="313"/>
      <c r="M7" s="361" t="s">
        <v>39</v>
      </c>
      <c r="N7" s="328"/>
      <c r="O7" s="328"/>
      <c r="P7" s="328"/>
      <c r="Q7" s="329"/>
      <c r="R7" s="329"/>
      <c r="S7" s="330"/>
      <c r="T7" s="367" t="s">
        <v>48</v>
      </c>
      <c r="U7" s="331"/>
      <c r="V7" s="332"/>
      <c r="W7" s="342" t="s">
        <v>43</v>
      </c>
      <c r="X7" s="293"/>
      <c r="Y7" s="335"/>
      <c r="Z7" s="356"/>
      <c r="AC7" s="6"/>
      <c r="AD7" s="6"/>
      <c r="AE7" s="6"/>
      <c r="AF7" s="6"/>
      <c r="AG7" s="6"/>
      <c r="AH7" s="6"/>
      <c r="AI7" s="6"/>
      <c r="AJ7" s="6"/>
    </row>
    <row r="8" spans="1:36" ht="12" customHeight="1">
      <c r="A8" s="29" t="s">
        <v>2</v>
      </c>
      <c r="B8" s="91">
        <v>0</v>
      </c>
      <c r="C8" s="102">
        <v>0</v>
      </c>
      <c r="D8" s="64">
        <v>0</v>
      </c>
      <c r="E8" s="267"/>
      <c r="F8" s="268"/>
      <c r="G8" s="268"/>
      <c r="H8" s="269"/>
      <c r="I8" s="269"/>
      <c r="J8" s="270"/>
      <c r="K8" s="271">
        <f>K26*K29/1000</f>
        <v>0.005</v>
      </c>
      <c r="L8" s="365" t="s">
        <v>46</v>
      </c>
      <c r="M8" s="31"/>
      <c r="N8" s="2"/>
      <c r="O8" s="2"/>
      <c r="P8" s="2"/>
      <c r="Q8" s="1"/>
      <c r="R8" s="32">
        <f>$K$16*A3/100000</f>
        <v>0</v>
      </c>
      <c r="S8" s="33"/>
      <c r="T8" s="214"/>
      <c r="U8" s="215"/>
      <c r="V8" s="237">
        <v>0</v>
      </c>
      <c r="W8" s="294"/>
      <c r="X8" s="295"/>
      <c r="Y8" s="336">
        <v>0</v>
      </c>
      <c r="Z8" s="362" t="s">
        <v>45</v>
      </c>
      <c r="AC8" s="6"/>
      <c r="AD8" s="6"/>
      <c r="AE8" s="6"/>
      <c r="AF8" s="6"/>
      <c r="AG8" s="6"/>
      <c r="AH8" s="6"/>
      <c r="AI8" s="6"/>
      <c r="AJ8" s="6"/>
    </row>
    <row r="9" spans="1:36" ht="0.75" customHeight="1">
      <c r="A9" s="30"/>
      <c r="B9" s="92">
        <f>IF(K10&gt;0,B10,(N_init_réactif_1*Q3*1000/coef_réact_1)/C_burette)</f>
        <v>0</v>
      </c>
      <c r="C9" s="102" t="str">
        <f>C10</f>
        <v>Xm</v>
      </c>
      <c r="D9" s="65">
        <f>IF(K10&gt;0,D10,N_init_réactif_1/coef_réact_1)</f>
        <v>0</v>
      </c>
      <c r="E9" s="272">
        <f>E10</f>
        <v>0.005</v>
      </c>
      <c r="F9" s="273" t="str">
        <f>F10</f>
        <v>-</v>
      </c>
      <c r="G9" s="274" t="str">
        <f>G10</f>
        <v>5 Xm</v>
      </c>
      <c r="H9" s="275">
        <f>H10</f>
        <v>0</v>
      </c>
      <c r="I9" s="270">
        <f>I10</f>
        <v>0</v>
      </c>
      <c r="J9" s="270"/>
      <c r="K9" s="276">
        <f>K10</f>
        <v>0.005</v>
      </c>
      <c r="L9" s="364"/>
      <c r="M9" s="34"/>
      <c r="N9" s="23"/>
      <c r="O9" s="23"/>
      <c r="P9" s="23"/>
      <c r="Q9" s="93">
        <v>0</v>
      </c>
      <c r="R9" s="35">
        <v>0</v>
      </c>
      <c r="S9" s="33"/>
      <c r="T9" s="218"/>
      <c r="U9" s="230"/>
      <c r="V9" s="238">
        <f>V10</f>
        <v>0</v>
      </c>
      <c r="W9" s="337"/>
      <c r="X9" s="296"/>
      <c r="Y9" s="338">
        <f>Y10</f>
        <v>0</v>
      </c>
      <c r="Z9" s="357"/>
      <c r="AC9" s="6"/>
      <c r="AD9" s="6"/>
      <c r="AE9" s="6"/>
      <c r="AF9" s="6"/>
      <c r="AG9" s="6"/>
      <c r="AH9" s="6"/>
      <c r="AI9" s="6"/>
      <c r="AJ9" s="6"/>
    </row>
    <row r="10" spans="1:36" ht="19.5" customHeight="1" thickBot="1">
      <c r="A10" s="69" t="s">
        <v>3</v>
      </c>
      <c r="B10" s="92">
        <f>V_burette</f>
        <v>0</v>
      </c>
      <c r="C10" s="391" t="str">
        <f>IF(K10&gt;0,"Xm","Xmax")</f>
        <v>Xm</v>
      </c>
      <c r="D10" s="66">
        <f>C3*K16/coef_réact_2/100000</f>
        <v>0</v>
      </c>
      <c r="E10" s="277">
        <f>K8</f>
        <v>0.005</v>
      </c>
      <c r="F10" s="278" t="s">
        <v>7</v>
      </c>
      <c r="G10" s="400" t="str">
        <f>IF(K10&gt;0,J6&amp;" Xm",J6&amp;" Xmax =")</f>
        <v>5 Xm</v>
      </c>
      <c r="H10" s="401"/>
      <c r="I10" s="280"/>
      <c r="J10" s="280"/>
      <c r="K10" s="281">
        <f>IF((N_init_réactif_1-(Avancement*coef_réact_1))&gt;0,N_init_réactif_1-Avancement*coef_réact_1,0)</f>
        <v>0.005</v>
      </c>
      <c r="L10" s="366" t="s">
        <v>47</v>
      </c>
      <c r="M10" s="36">
        <f>N_init_réactif_2</f>
        <v>0</v>
      </c>
      <c r="N10" s="37" t="s">
        <v>7</v>
      </c>
      <c r="O10" s="38"/>
      <c r="P10" s="392" t="str">
        <f>IF(K10&gt;0,IF(coef_réact_2=1,"Xm =",coef_réact_2&amp;" Xm ="),IF(coef_réact_2=1,"Xmax =",coef_réact_2&amp;"Xmax ="))</f>
        <v>Xm =</v>
      </c>
      <c r="Q10" s="370"/>
      <c r="R10" s="40">
        <f>IF(K10&gt;0,0,(N_init_réactif_2-(D11*coef_réact_2)))</f>
        <v>0</v>
      </c>
      <c r="S10" s="41"/>
      <c r="T10" s="67">
        <f>IF(coef_prod1=1,"",coef_prod1)</f>
        <v>5</v>
      </c>
      <c r="U10" s="394" t="str">
        <f>IF(K10&gt;0,"Xm =","Xmax=")</f>
        <v>Xm =</v>
      </c>
      <c r="V10" s="239">
        <f>IF(K10&gt;0,Avancement*coef_prod1,X_equiv*coef_prod1)</f>
        <v>0</v>
      </c>
      <c r="W10" s="339">
        <f>IF(coef_prod2=1,"",coef_prod2)</f>
      </c>
      <c r="X10" s="395" t="str">
        <f>IF(K10&gt;0,"Xm =","Xmax=")</f>
        <v>Xm =</v>
      </c>
      <c r="Y10" s="340">
        <f>IF(K10&gt;0,Avancement*coef_prod2,X_equiv*coef_prod2)</f>
        <v>0</v>
      </c>
      <c r="Z10" s="363" t="s">
        <v>46</v>
      </c>
      <c r="AC10" s="6"/>
      <c r="AD10" s="6"/>
      <c r="AE10" s="6"/>
      <c r="AF10" s="6"/>
      <c r="AG10" s="6"/>
      <c r="AH10" s="6"/>
      <c r="AI10" s="6"/>
      <c r="AJ10" s="6"/>
    </row>
    <row r="11" spans="1:36" ht="12" customHeight="1" thickBot="1">
      <c r="A11" s="419">
        <f>IF(K10&gt;0,"","Etat final Xmax=")</f>
      </c>
      <c r="B11" s="407">
        <f>IF(K10&gt;0,"",K8/J3)</f>
      </c>
      <c r="C11" s="197"/>
      <c r="D11" s="198">
        <f>IF(K10&gt;0,"",N_init_réactif_1/coef_réact_1)</f>
      </c>
      <c r="E11" s="199">
        <f>IF(K10&gt;0,"",N_init_réactif_1)</f>
      </c>
      <c r="F11" s="200">
        <f>IF(K10&gt;0,"","-")</f>
      </c>
      <c r="G11" s="201">
        <f>IF(OR(ISBLANK(coef_réact_1),coef_réact_1=1,K10&gt;0),"",coef_réact_1)</f>
      </c>
      <c r="H11" s="202">
        <f>IF(K10&gt;0,"","Xmax =")</f>
      </c>
      <c r="I11" s="200"/>
      <c r="J11" s="200"/>
      <c r="K11" s="203">
        <f>IF(K10&gt;0,"",K10)</f>
      </c>
      <c r="L11" s="205"/>
      <c r="M11" s="199">
        <f>IF(K10&gt;0,"",N_init_réactif_2)</f>
      </c>
      <c r="N11" s="200">
        <f>IF(K10&gt;0,"","-")</f>
      </c>
      <c r="O11" s="201">
        <f>IF(OR(ISBLANK(coef_réactif2),coef_réactif2=1,K10&gt;0),"",coef_réactif2)</f>
      </c>
      <c r="P11" s="389">
        <f>IF(K10&gt;0,"",IF(coef_réact_2=1,"Xmax=",coef_réact_2&amp;"Xmax="))</f>
      </c>
      <c r="Q11" s="200"/>
      <c r="R11" s="205">
        <f>IF(K10&gt;0,"",R10)</f>
      </c>
      <c r="S11" s="206"/>
      <c r="T11" s="207">
        <f>IF(OR(coef_prod1=1,K10&gt;0),"",coef_prod1)</f>
      </c>
      <c r="U11" s="397">
        <f>IF(K10&gt;0,"","Xmax=")</f>
      </c>
      <c r="V11" s="208">
        <f>IF(K10&gt;0,"",V10)</f>
      </c>
      <c r="W11" s="341">
        <f>IF(OR(K10&gt;0,coef_prod2=1),"",coef_prod2)</f>
      </c>
      <c r="X11" s="389">
        <f>IF(K10&gt;0,"","Xmax=")</f>
      </c>
      <c r="Y11" s="208">
        <f>IF(K10&gt;0,"",Y10)</f>
      </c>
      <c r="Z11" s="358">
        <f>IF(L10&gt;0,"",Z10)</f>
      </c>
      <c r="AC11" s="6"/>
      <c r="AD11" s="6"/>
      <c r="AE11" s="6"/>
      <c r="AF11" s="6"/>
      <c r="AG11" s="6"/>
      <c r="AH11" s="6"/>
      <c r="AI11" s="6"/>
      <c r="AJ11" s="6"/>
    </row>
    <row r="12" spans="1:36" ht="12.75">
      <c r="A12" s="26"/>
      <c r="B12" s="26"/>
      <c r="C12" s="6"/>
      <c r="D12" s="6"/>
      <c r="E12" s="6"/>
      <c r="F12" s="6"/>
      <c r="G12" s="6"/>
      <c r="H12" s="6"/>
      <c r="I12" s="6"/>
      <c r="J12" s="6"/>
      <c r="K12" s="121"/>
      <c r="L12" s="359">
        <f>IF(K10&gt;0,"","Vequiv = ")</f>
      </c>
      <c r="M12" s="122">
        <f>IF(K10&gt;0,"",B9)</f>
      </c>
      <c r="N12" s="124">
        <f>IF(K10&gt;0,""," ,")</f>
      </c>
      <c r="O12" s="125">
        <f>IF(K10&gt;0,""," ,")</f>
      </c>
      <c r="P12" s="123">
        <f>IF(K10&gt;0,"","mL")</f>
      </c>
      <c r="Q12" s="6"/>
      <c r="R12" s="6"/>
      <c r="S12" s="6"/>
      <c r="T12" s="6"/>
      <c r="U12" s="6"/>
      <c r="V12" s="6"/>
      <c r="W12" s="6"/>
      <c r="X12" s="6"/>
      <c r="Y12" s="6"/>
      <c r="Z12" s="6"/>
      <c r="AC12" s="6"/>
      <c r="AD12" s="6"/>
      <c r="AE12" s="6"/>
      <c r="AF12" s="6"/>
      <c r="AG12" s="6"/>
      <c r="AH12" s="6"/>
      <c r="AI12" s="6"/>
      <c r="AJ12" s="6"/>
    </row>
    <row r="13" spans="1:36" ht="12.7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C13" s="6"/>
      <c r="AD13" s="6"/>
      <c r="AE13" s="6"/>
      <c r="AF13" s="6"/>
      <c r="AG13" s="6"/>
      <c r="AH13" s="6"/>
      <c r="AI13" s="6"/>
      <c r="AJ13" s="6"/>
    </row>
    <row r="14" spans="1:36" ht="12.7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C14" s="6"/>
      <c r="AD14" s="6"/>
      <c r="AE14" s="6"/>
      <c r="AF14" s="6"/>
      <c r="AG14" s="6"/>
      <c r="AH14" s="6"/>
      <c r="AI14" s="6"/>
      <c r="AJ14" s="6"/>
    </row>
    <row r="15" spans="1:36" ht="12.75">
      <c r="A15" s="6"/>
      <c r="B15" s="6"/>
      <c r="C15" s="6"/>
      <c r="D15" s="6"/>
      <c r="E15" s="6"/>
      <c r="F15" s="6"/>
      <c r="G15" s="6"/>
      <c r="H15" s="6"/>
      <c r="I15" s="6"/>
      <c r="J15" s="42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C15" s="6"/>
      <c r="AD15" s="6"/>
      <c r="AE15" s="6"/>
      <c r="AF15" s="6"/>
      <c r="AG15" s="6"/>
      <c r="AH15" s="6"/>
      <c r="AI15" s="6"/>
      <c r="AJ15" s="6"/>
    </row>
    <row r="16" spans="1:36" ht="12.75">
      <c r="A16" s="6"/>
      <c r="B16" s="6"/>
      <c r="C16" s="6"/>
      <c r="D16" s="6"/>
      <c r="E16" s="6"/>
      <c r="F16" s="6"/>
      <c r="G16" s="6"/>
      <c r="H16" s="6"/>
      <c r="I16" s="6"/>
      <c r="J16" s="6"/>
      <c r="K16" s="350">
        <f>K17/1000</f>
        <v>0.08</v>
      </c>
      <c r="L16" s="343" t="s">
        <v>44</v>
      </c>
      <c r="M16" s="7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C16" s="6"/>
      <c r="AD16" s="6"/>
      <c r="AE16" s="6"/>
      <c r="AF16" s="6"/>
      <c r="AG16" s="6"/>
      <c r="AH16" s="6"/>
      <c r="AI16" s="6"/>
      <c r="AJ16" s="6"/>
    </row>
    <row r="17" spans="1:36" ht="12.75">
      <c r="A17" s="6"/>
      <c r="B17" s="6"/>
      <c r="C17" s="6"/>
      <c r="D17" s="6"/>
      <c r="E17" s="6"/>
      <c r="F17" s="6"/>
      <c r="G17" s="6"/>
      <c r="H17" s="6"/>
      <c r="I17" s="6"/>
      <c r="J17" s="6"/>
      <c r="K17" s="72">
        <v>80</v>
      </c>
      <c r="L17" s="7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C17" s="6"/>
      <c r="AD17" s="6"/>
      <c r="AE17" s="6"/>
      <c r="AF17" s="6"/>
      <c r="AG17" s="6"/>
      <c r="AH17" s="6"/>
      <c r="AI17" s="6"/>
      <c r="AJ17" s="6"/>
    </row>
    <row r="18" spans="1:36" ht="15.75">
      <c r="A18" s="6"/>
      <c r="B18" s="6"/>
      <c r="C18" s="6"/>
      <c r="D18" s="6"/>
      <c r="E18" s="6"/>
      <c r="F18" s="6"/>
      <c r="H18" s="6"/>
      <c r="I18" s="6"/>
      <c r="J18" s="6"/>
      <c r="K18" s="146" t="s">
        <v>30</v>
      </c>
      <c r="L18" s="344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C18" s="6"/>
      <c r="AD18" s="6"/>
      <c r="AE18" s="6"/>
      <c r="AF18" s="6"/>
      <c r="AG18" s="6"/>
      <c r="AH18" s="6"/>
      <c r="AI18" s="6"/>
      <c r="AJ18" s="6"/>
    </row>
    <row r="19" spans="1:36" ht="14.25">
      <c r="A19" s="6"/>
      <c r="B19" s="6"/>
      <c r="C19" s="6"/>
      <c r="D19" s="6"/>
      <c r="E19" s="6"/>
      <c r="F19" s="6"/>
      <c r="G19" s="6"/>
      <c r="H19" s="73"/>
      <c r="I19" s="6"/>
      <c r="J19" s="25"/>
      <c r="K19" s="147" t="s">
        <v>31</v>
      </c>
      <c r="L19" s="345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C19" s="6"/>
      <c r="AD19" s="6"/>
      <c r="AE19" s="6"/>
      <c r="AF19" s="6"/>
      <c r="AG19" s="6"/>
      <c r="AH19" s="6"/>
      <c r="AI19" s="6"/>
      <c r="AJ19" s="6"/>
    </row>
    <row r="20" spans="1:36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104" t="s">
        <v>9</v>
      </c>
      <c r="L20" s="104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C20" s="6"/>
      <c r="AD20" s="6"/>
      <c r="AE20" s="6"/>
      <c r="AF20" s="6"/>
      <c r="AG20" s="6"/>
      <c r="AH20" s="6"/>
      <c r="AI20" s="6"/>
      <c r="AJ20" s="6"/>
    </row>
    <row r="21" spans="1:36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100">
        <f>A3/100</f>
        <v>0</v>
      </c>
      <c r="L21" s="346" t="s">
        <v>10</v>
      </c>
      <c r="M21" s="7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C21" s="6"/>
      <c r="AD21" s="6"/>
      <c r="AE21" s="6"/>
      <c r="AF21" s="6"/>
      <c r="AG21" s="6"/>
      <c r="AH21" s="6"/>
      <c r="AI21" s="6"/>
      <c r="AJ21" s="6"/>
    </row>
    <row r="22" spans="1:36" ht="12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C22" s="6"/>
      <c r="AD22" s="6"/>
      <c r="AE22" s="6"/>
      <c r="AF22" s="6"/>
      <c r="AG22" s="6"/>
      <c r="AH22" s="6"/>
      <c r="AI22" s="6"/>
      <c r="AJ22" s="6"/>
    </row>
    <row r="23" spans="1:36" ht="12.75">
      <c r="A23" s="6"/>
      <c r="B23" s="6"/>
      <c r="C23" s="6"/>
      <c r="D23" s="6"/>
      <c r="E23" s="6"/>
      <c r="F23" s="6"/>
      <c r="G23" s="6"/>
      <c r="H23" s="60"/>
      <c r="I23" s="60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C23" s="6"/>
      <c r="AD23" s="6"/>
      <c r="AE23" s="6"/>
      <c r="AF23" s="6"/>
      <c r="AG23" s="6"/>
      <c r="AH23" s="6"/>
      <c r="AI23" s="6"/>
      <c r="AJ23" s="6"/>
    </row>
    <row r="24" spans="1:36" ht="12.75">
      <c r="A24" s="6"/>
      <c r="B24" s="6"/>
      <c r="C24" s="6"/>
      <c r="D24" s="6"/>
      <c r="E24" s="6"/>
      <c r="F24" s="6"/>
      <c r="G24" s="6"/>
      <c r="H24" s="60"/>
      <c r="I24" s="71"/>
      <c r="K24" s="371" t="s">
        <v>15</v>
      </c>
      <c r="L24" s="7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C24" s="6"/>
      <c r="AD24" s="6"/>
      <c r="AE24" s="6"/>
      <c r="AF24" s="6"/>
      <c r="AG24" s="6"/>
      <c r="AH24" s="6"/>
      <c r="AI24" s="6"/>
      <c r="AJ24" s="6"/>
    </row>
    <row r="25" spans="1:36" ht="12.75">
      <c r="A25" s="6"/>
      <c r="B25" s="6"/>
      <c r="C25" s="6"/>
      <c r="D25" s="6"/>
      <c r="E25" s="6"/>
      <c r="F25" s="6"/>
      <c r="G25" s="6"/>
      <c r="H25" s="60"/>
      <c r="I25" s="71"/>
      <c r="J25" s="68" t="s">
        <v>16</v>
      </c>
      <c r="K25" s="84" t="s">
        <v>17</v>
      </c>
      <c r="L25" s="84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C25" s="6"/>
      <c r="AD25" s="6"/>
      <c r="AE25" s="6"/>
      <c r="AF25" s="6"/>
      <c r="AG25" s="6"/>
      <c r="AH25" s="6"/>
      <c r="AI25" s="6"/>
      <c r="AJ25" s="6"/>
    </row>
    <row r="26" spans="1:36" ht="12.75">
      <c r="A26" s="6"/>
      <c r="B26" s="6"/>
      <c r="C26" s="6"/>
      <c r="D26" s="6"/>
      <c r="E26" s="6"/>
      <c r="F26" s="6"/>
      <c r="G26" s="6"/>
      <c r="H26" s="60"/>
      <c r="I26" s="60"/>
      <c r="J26" s="6"/>
      <c r="K26" s="354">
        <f>M3/1000</f>
        <v>0.1</v>
      </c>
      <c r="L26" s="347" t="s">
        <v>44</v>
      </c>
      <c r="M26" s="7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C26" s="6"/>
      <c r="AD26" s="6"/>
      <c r="AE26" s="6"/>
      <c r="AF26" s="6"/>
      <c r="AG26" s="6"/>
      <c r="AH26" s="6"/>
      <c r="AI26" s="6"/>
      <c r="AJ26" s="6"/>
    </row>
    <row r="27" spans="1:36" ht="15.75">
      <c r="A27" s="6"/>
      <c r="B27" s="6"/>
      <c r="C27" s="6"/>
      <c r="D27" s="6"/>
      <c r="E27" s="6"/>
      <c r="F27" s="6"/>
      <c r="G27" s="6"/>
      <c r="H27" s="60"/>
      <c r="I27" s="60"/>
      <c r="J27" s="6"/>
      <c r="K27" s="352" t="s">
        <v>54</v>
      </c>
      <c r="L27" s="348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C27" s="6"/>
      <c r="AD27" s="6"/>
      <c r="AE27" s="6"/>
      <c r="AF27" s="6"/>
      <c r="AG27" s="6"/>
      <c r="AH27" s="6"/>
      <c r="AI27" s="6"/>
      <c r="AJ27" s="6"/>
    </row>
    <row r="28" spans="1:36" ht="15.75">
      <c r="A28" s="6"/>
      <c r="B28" s="6"/>
      <c r="C28" s="6"/>
      <c r="D28" s="6"/>
      <c r="E28" s="6"/>
      <c r="F28" s="6"/>
      <c r="G28" s="6"/>
      <c r="H28" s="60"/>
      <c r="I28" s="60"/>
      <c r="J28" s="70"/>
      <c r="K28" s="353" t="s">
        <v>55</v>
      </c>
      <c r="L28" s="349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C28" s="6"/>
      <c r="AD28" s="6"/>
      <c r="AE28" s="6"/>
      <c r="AF28" s="6"/>
      <c r="AG28" s="6"/>
      <c r="AH28" s="6"/>
      <c r="AI28" s="6"/>
      <c r="AJ28" s="6"/>
    </row>
    <row r="29" spans="1:36" ht="12.75">
      <c r="A29" s="6"/>
      <c r="B29" s="6"/>
      <c r="C29" s="6"/>
      <c r="D29" s="6"/>
      <c r="E29" s="6"/>
      <c r="F29" s="6"/>
      <c r="G29" s="6"/>
      <c r="H29" s="60"/>
      <c r="I29" s="60"/>
      <c r="J29" s="6"/>
      <c r="K29" s="282">
        <v>50</v>
      </c>
      <c r="L29" s="351" t="s">
        <v>10</v>
      </c>
      <c r="M29" s="7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C29" s="6"/>
      <c r="AD29" s="6"/>
      <c r="AE29" s="6"/>
      <c r="AF29" s="6"/>
      <c r="AG29" s="6"/>
      <c r="AH29" s="6"/>
      <c r="AI29" s="6"/>
      <c r="AJ29" s="6"/>
    </row>
    <row r="30" spans="1:36" ht="13.5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70"/>
      <c r="L30" s="70"/>
      <c r="M30" s="70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C30" s="6"/>
      <c r="AD30" s="6"/>
      <c r="AE30" s="6"/>
      <c r="AF30" s="6"/>
      <c r="AG30" s="6"/>
      <c r="AH30" s="6"/>
      <c r="AI30" s="6"/>
      <c r="AJ30" s="6"/>
    </row>
    <row r="31" spans="1:36" ht="15.75" customHeight="1">
      <c r="A31" s="162"/>
      <c r="B31" s="162"/>
      <c r="C31" s="162"/>
      <c r="D31" s="420"/>
      <c r="E31" s="420"/>
      <c r="F31" s="162"/>
      <c r="G31" s="162"/>
      <c r="H31" s="162"/>
      <c r="I31" s="162"/>
      <c r="J31" s="162"/>
      <c r="K31" s="186"/>
      <c r="L31" s="186"/>
      <c r="M31" s="74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C31" s="6"/>
      <c r="AD31" s="6"/>
      <c r="AE31" s="6"/>
      <c r="AF31" s="6"/>
      <c r="AG31" s="6"/>
      <c r="AH31" s="6"/>
      <c r="AI31" s="6"/>
      <c r="AJ31" s="6"/>
    </row>
    <row r="32" spans="1:36" s="61" customFormat="1" ht="21.75" customHeight="1">
      <c r="A32" s="60"/>
      <c r="B32" s="60"/>
      <c r="C32" s="60"/>
      <c r="D32" s="60"/>
      <c r="E32" s="60"/>
      <c r="F32" s="60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</row>
    <row r="33" spans="1:36" ht="18.7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C33" s="6"/>
      <c r="AD33" s="6"/>
      <c r="AE33" s="6"/>
      <c r="AF33" s="6"/>
      <c r="AG33" s="6"/>
      <c r="AH33" s="6"/>
      <c r="AI33" s="6"/>
      <c r="AJ33" s="6"/>
    </row>
    <row r="34" spans="1:36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C34" s="6"/>
      <c r="AD34" s="6"/>
      <c r="AE34" s="6"/>
      <c r="AF34" s="6"/>
      <c r="AG34" s="6"/>
      <c r="AH34" s="6"/>
      <c r="AI34" s="6"/>
      <c r="AJ34" s="6"/>
    </row>
    <row r="35" spans="1:36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C35" s="6"/>
      <c r="AD35" s="6"/>
      <c r="AE35" s="6"/>
      <c r="AF35" s="6"/>
      <c r="AG35" s="6"/>
      <c r="AH35" s="6"/>
      <c r="AI35" s="6"/>
      <c r="AJ35" s="6"/>
    </row>
    <row r="36" spans="1:36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C36" s="6"/>
      <c r="AD36" s="6"/>
      <c r="AE36" s="6"/>
      <c r="AF36" s="6"/>
      <c r="AG36" s="6"/>
      <c r="AH36" s="6"/>
      <c r="AI36" s="6"/>
      <c r="AJ36" s="6"/>
    </row>
    <row r="37" spans="1:36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C37" s="6"/>
      <c r="AD37" s="6"/>
      <c r="AE37" s="6"/>
      <c r="AF37" s="6"/>
      <c r="AG37" s="6"/>
      <c r="AH37" s="6"/>
      <c r="AI37" s="6"/>
      <c r="AJ37" s="6"/>
    </row>
    <row r="38" spans="1:36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C38" s="6"/>
      <c r="AD38" s="6"/>
      <c r="AE38" s="6"/>
      <c r="AF38" s="6"/>
      <c r="AG38" s="6"/>
      <c r="AH38" s="6"/>
      <c r="AI38" s="6"/>
      <c r="AJ38" s="6"/>
    </row>
    <row r="39" spans="1:3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C39" s="6"/>
      <c r="AD39" s="6"/>
      <c r="AE39" s="6"/>
      <c r="AF39" s="6"/>
      <c r="AG39" s="6"/>
      <c r="AH39" s="6"/>
      <c r="AI39" s="6"/>
      <c r="AJ39" s="6"/>
    </row>
    <row r="40" spans="1:3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C40" s="6"/>
      <c r="AD40" s="6"/>
      <c r="AE40" s="6"/>
      <c r="AF40" s="6"/>
      <c r="AG40" s="6"/>
      <c r="AH40" s="6"/>
      <c r="AI40" s="6"/>
      <c r="AJ40" s="6"/>
    </row>
    <row r="41" spans="1:36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C41" s="6"/>
      <c r="AD41" s="6"/>
      <c r="AE41" s="6"/>
      <c r="AF41" s="6"/>
      <c r="AG41" s="6"/>
      <c r="AH41" s="6"/>
      <c r="AI41" s="6"/>
      <c r="AJ41" s="6"/>
    </row>
    <row r="42" spans="1:36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C42" s="6"/>
      <c r="AD42" s="6"/>
      <c r="AE42" s="6"/>
      <c r="AF42" s="6"/>
      <c r="AG42" s="6"/>
      <c r="AH42" s="6"/>
      <c r="AI42" s="6"/>
      <c r="AJ42" s="6"/>
    </row>
    <row r="43" spans="1:36" ht="12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C43" s="6"/>
      <c r="AD43" s="6"/>
      <c r="AE43" s="6"/>
      <c r="AF43" s="6"/>
      <c r="AG43" s="6"/>
      <c r="AH43" s="6"/>
      <c r="AI43" s="6"/>
      <c r="AJ43" s="6"/>
    </row>
    <row r="44" spans="1:36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C44" s="6"/>
      <c r="AD44" s="6"/>
      <c r="AE44" s="6"/>
      <c r="AF44" s="6"/>
      <c r="AG44" s="6"/>
      <c r="AH44" s="6"/>
      <c r="AI44" s="6"/>
      <c r="AJ44" s="6"/>
    </row>
    <row r="45" spans="1:36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C45" s="6"/>
      <c r="AD45" s="6"/>
      <c r="AE45" s="6"/>
      <c r="AF45" s="6"/>
      <c r="AG45" s="6"/>
      <c r="AH45" s="6"/>
      <c r="AI45" s="6"/>
      <c r="AJ45" s="6"/>
    </row>
    <row r="46" spans="1:36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C46" s="6"/>
      <c r="AD46" s="6"/>
      <c r="AE46" s="6"/>
      <c r="AF46" s="6"/>
      <c r="AG46" s="6"/>
      <c r="AH46" s="6"/>
      <c r="AI46" s="6"/>
      <c r="AJ46" s="6"/>
    </row>
    <row r="47" spans="1:36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C47" s="6"/>
      <c r="AD47" s="6"/>
      <c r="AE47" s="6"/>
      <c r="AF47" s="6"/>
      <c r="AG47" s="6"/>
      <c r="AH47" s="6"/>
      <c r="AI47" s="6"/>
      <c r="AJ47" s="6"/>
    </row>
    <row r="48" spans="1:36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C48" s="6"/>
      <c r="AD48" s="6"/>
      <c r="AE48" s="6"/>
      <c r="AF48" s="6"/>
      <c r="AG48" s="6"/>
      <c r="AH48" s="6"/>
      <c r="AI48" s="6"/>
      <c r="AJ48" s="6"/>
    </row>
    <row r="49" spans="1:36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C49" s="6"/>
      <c r="AD49" s="6"/>
      <c r="AE49" s="6"/>
      <c r="AF49" s="6"/>
      <c r="AG49" s="6"/>
      <c r="AH49" s="6"/>
      <c r="AI49" s="6"/>
      <c r="AJ49" s="6"/>
    </row>
    <row r="50" spans="1:36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C50" s="6"/>
      <c r="AD50" s="6"/>
      <c r="AE50" s="6"/>
      <c r="AF50" s="6"/>
      <c r="AG50" s="6"/>
      <c r="AH50" s="6"/>
      <c r="AI50" s="6"/>
      <c r="AJ50" s="6"/>
    </row>
    <row r="51" spans="1:36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C51" s="6"/>
      <c r="AD51" s="6"/>
      <c r="AE51" s="6"/>
      <c r="AF51" s="6"/>
      <c r="AG51" s="6"/>
      <c r="AH51" s="6"/>
      <c r="AI51" s="6"/>
      <c r="AJ51" s="6"/>
    </row>
    <row r="52" spans="29:36" ht="12.75">
      <c r="AC52" s="6"/>
      <c r="AD52" s="6"/>
      <c r="AE52" s="6"/>
      <c r="AF52" s="6"/>
      <c r="AG52" s="6"/>
      <c r="AH52" s="6"/>
      <c r="AI52" s="6"/>
      <c r="AJ52" s="6"/>
    </row>
    <row r="53" spans="29:36" ht="12.75">
      <c r="AC53" s="6"/>
      <c r="AD53" s="6"/>
      <c r="AE53" s="6"/>
      <c r="AF53" s="6"/>
      <c r="AG53" s="6"/>
      <c r="AH53" s="6"/>
      <c r="AI53" s="6"/>
      <c r="AJ53" s="6"/>
    </row>
    <row r="54" spans="29:36" ht="12.75">
      <c r="AC54" s="6"/>
      <c r="AD54" s="6"/>
      <c r="AE54" s="6"/>
      <c r="AF54" s="6"/>
      <c r="AG54" s="6"/>
      <c r="AH54" s="6"/>
      <c r="AI54" s="6"/>
      <c r="AJ54" s="6"/>
    </row>
    <row r="55" spans="29:36" ht="12.75">
      <c r="AC55" s="6"/>
      <c r="AD55" s="6"/>
      <c r="AE55" s="6"/>
      <c r="AF55" s="6"/>
      <c r="AG55" s="6"/>
      <c r="AH55" s="6"/>
      <c r="AI55" s="6"/>
      <c r="AJ55" s="6"/>
    </row>
    <row r="56" spans="29:36" ht="12.75">
      <c r="AC56" s="6"/>
      <c r="AD56" s="6"/>
      <c r="AE56" s="6"/>
      <c r="AF56" s="6"/>
      <c r="AG56" s="6"/>
      <c r="AH56" s="6"/>
      <c r="AI56" s="6"/>
      <c r="AJ56" s="6"/>
    </row>
    <row r="57" spans="29:36" ht="12.75">
      <c r="AC57" s="6"/>
      <c r="AD57" s="6"/>
      <c r="AE57" s="6"/>
      <c r="AF57" s="6"/>
      <c r="AG57" s="6"/>
      <c r="AH57" s="6"/>
      <c r="AI57" s="6"/>
      <c r="AJ57" s="6"/>
    </row>
    <row r="58" spans="29:36" ht="12.75">
      <c r="AC58" s="6"/>
      <c r="AD58" s="6"/>
      <c r="AE58" s="6"/>
      <c r="AF58" s="6"/>
      <c r="AG58" s="6"/>
      <c r="AH58" s="6"/>
      <c r="AI58" s="6"/>
      <c r="AJ58" s="6"/>
    </row>
    <row r="59" spans="29:36" ht="12.75">
      <c r="AC59" s="6"/>
      <c r="AD59" s="6"/>
      <c r="AE59" s="6"/>
      <c r="AF59" s="6"/>
      <c r="AG59" s="6"/>
      <c r="AH59" s="6"/>
      <c r="AI59" s="6"/>
      <c r="AJ59" s="6"/>
    </row>
    <row r="60" spans="1:28" ht="12.75">
      <c r="A60" t="s">
        <v>13</v>
      </c>
      <c r="C60">
        <v>0</v>
      </c>
      <c r="D60">
        <v>0.1</v>
      </c>
      <c r="E60">
        <v>0.2</v>
      </c>
      <c r="F60">
        <v>0.3</v>
      </c>
      <c r="G60">
        <v>0.4</v>
      </c>
      <c r="H60">
        <v>0.5</v>
      </c>
      <c r="I60">
        <v>0.6</v>
      </c>
      <c r="J60">
        <v>0.7</v>
      </c>
      <c r="K60">
        <v>0.8</v>
      </c>
      <c r="AA60"/>
      <c r="AB60"/>
    </row>
    <row r="61" spans="1:254" ht="12.75">
      <c r="A61" t="s">
        <v>14</v>
      </c>
      <c r="C61" s="83">
        <f aca="true" t="shared" si="0" ref="C61:K61">IF(V_burette&lt;C60,-1,IF((C_becher*V_becher-C_burette*C60)&gt;0,((($M$5*(C_becher*V_becher-C_burette*C60))+($Y$5*C_burette*C60+$R$5*C_becher*V_becher))/(V_becher+V_eau_cond1+C60)),((($V$5*(C_burette*C60-C_becher*V_becher))+($Y$5*C_burette*C60+$R$5*C_becher*V_becher))/(V_becher+V_eau_cond1+C60))))</f>
        <v>0</v>
      </c>
      <c r="D61" s="83">
        <f t="shared" si="0"/>
        <v>-1</v>
      </c>
      <c r="E61" s="83">
        <f t="shared" si="0"/>
        <v>-1</v>
      </c>
      <c r="F61" s="83">
        <f t="shared" si="0"/>
        <v>-1</v>
      </c>
      <c r="G61" s="83">
        <f t="shared" si="0"/>
        <v>-1</v>
      </c>
      <c r="H61" s="83">
        <f t="shared" si="0"/>
        <v>-1</v>
      </c>
      <c r="I61" s="83">
        <f t="shared" si="0"/>
        <v>-1</v>
      </c>
      <c r="J61" s="83">
        <f t="shared" si="0"/>
        <v>-1</v>
      </c>
      <c r="K61" s="83">
        <f t="shared" si="0"/>
        <v>-1</v>
      </c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/>
      <c r="AF61" s="83"/>
      <c r="AG61" s="83"/>
      <c r="AH61" s="83"/>
      <c r="AI61" s="83"/>
      <c r="AJ61" s="83"/>
      <c r="AK61" s="83"/>
      <c r="AL61" s="83"/>
      <c r="AM61" s="83"/>
      <c r="AN61" s="83"/>
      <c r="AO61" s="83"/>
      <c r="AP61" s="83"/>
      <c r="AQ61" s="83"/>
      <c r="AR61" s="83"/>
      <c r="AS61" s="83"/>
      <c r="AT61" s="83"/>
      <c r="AU61" s="83"/>
      <c r="AV61" s="83"/>
      <c r="AW61" s="83"/>
      <c r="AX61" s="83"/>
      <c r="AY61" s="83"/>
      <c r="AZ61" s="83"/>
      <c r="BA61" s="83"/>
      <c r="BB61" s="83"/>
      <c r="BC61" s="83"/>
      <c r="BD61" s="83"/>
      <c r="BE61" s="83"/>
      <c r="BF61" s="83"/>
      <c r="BG61" s="83"/>
      <c r="BH61" s="83"/>
      <c r="BI61" s="83"/>
      <c r="BJ61" s="83"/>
      <c r="BK61" s="83"/>
      <c r="BL61" s="83"/>
      <c r="BM61" s="83"/>
      <c r="BN61" s="83"/>
      <c r="BO61" s="83"/>
      <c r="BP61" s="83"/>
      <c r="BQ61" s="83"/>
      <c r="BR61" s="83"/>
      <c r="BS61" s="83"/>
      <c r="BT61" s="83"/>
      <c r="BU61" s="83"/>
      <c r="BV61" s="83"/>
      <c r="BW61" s="83"/>
      <c r="BX61" s="83"/>
      <c r="BY61" s="83"/>
      <c r="BZ61" s="83"/>
      <c r="CA61" s="83"/>
      <c r="CB61" s="83"/>
      <c r="CC61" s="83"/>
      <c r="CD61" s="83"/>
      <c r="CE61" s="83"/>
      <c r="CF61" s="83"/>
      <c r="CG61" s="83"/>
      <c r="CH61" s="83"/>
      <c r="CI61" s="83"/>
      <c r="CJ61" s="83"/>
      <c r="CK61" s="83"/>
      <c r="CL61" s="83"/>
      <c r="CM61" s="83"/>
      <c r="CN61" s="83"/>
      <c r="CO61" s="83"/>
      <c r="CP61" s="83"/>
      <c r="CQ61" s="83"/>
      <c r="CR61" s="83"/>
      <c r="CS61" s="83"/>
      <c r="CT61" s="83"/>
      <c r="CU61" s="83"/>
      <c r="CV61" s="83"/>
      <c r="CW61" s="83"/>
      <c r="CX61" s="83"/>
      <c r="CY61" s="83"/>
      <c r="CZ61" s="83"/>
      <c r="DA61" s="83"/>
      <c r="DB61" s="83"/>
      <c r="DC61" s="83"/>
      <c r="DD61" s="83"/>
      <c r="DE61" s="83"/>
      <c r="DF61" s="83"/>
      <c r="DG61" s="83"/>
      <c r="DH61" s="83"/>
      <c r="DI61" s="83"/>
      <c r="DJ61" s="83"/>
      <c r="DK61" s="83"/>
      <c r="DL61" s="83"/>
      <c r="DM61" s="83"/>
      <c r="DN61" s="83"/>
      <c r="DO61" s="83"/>
      <c r="DP61" s="83"/>
      <c r="DQ61" s="83"/>
      <c r="DR61" s="83"/>
      <c r="DS61" s="83"/>
      <c r="DT61" s="83"/>
      <c r="DU61" s="83"/>
      <c r="DV61" s="83"/>
      <c r="DW61" s="83"/>
      <c r="DX61" s="83"/>
      <c r="DY61" s="83"/>
      <c r="DZ61" s="83"/>
      <c r="EA61" s="83"/>
      <c r="EB61" s="83"/>
      <c r="EC61" s="83"/>
      <c r="ED61" s="83"/>
      <c r="EE61" s="83"/>
      <c r="EF61" s="83"/>
      <c r="EG61" s="83"/>
      <c r="EH61" s="83"/>
      <c r="EI61" s="83"/>
      <c r="EJ61" s="83"/>
      <c r="EK61" s="83"/>
      <c r="EL61" s="83"/>
      <c r="EM61" s="83"/>
      <c r="EN61" s="83"/>
      <c r="EO61" s="83"/>
      <c r="EP61" s="83"/>
      <c r="EQ61" s="83"/>
      <c r="ER61" s="83"/>
      <c r="ES61" s="83"/>
      <c r="ET61" s="83"/>
      <c r="EU61" s="83"/>
      <c r="EV61" s="83"/>
      <c r="EW61" s="83"/>
      <c r="EX61" s="83"/>
      <c r="EY61" s="83"/>
      <c r="EZ61" s="83"/>
      <c r="FA61" s="83"/>
      <c r="FB61" s="83"/>
      <c r="FC61" s="83"/>
      <c r="FD61" s="83"/>
      <c r="FE61" s="83"/>
      <c r="FF61" s="83"/>
      <c r="FG61" s="83"/>
      <c r="FH61" s="83"/>
      <c r="FI61" s="83"/>
      <c r="FJ61" s="83"/>
      <c r="FK61" s="83"/>
      <c r="FL61" s="83"/>
      <c r="FM61" s="83"/>
      <c r="FN61" s="83"/>
      <c r="FO61" s="83"/>
      <c r="FP61" s="83"/>
      <c r="FQ61" s="83"/>
      <c r="FR61" s="83"/>
      <c r="FS61" s="83"/>
      <c r="FT61" s="83"/>
      <c r="FU61" s="83"/>
      <c r="FV61" s="83"/>
      <c r="FW61" s="83"/>
      <c r="FX61" s="83"/>
      <c r="FY61" s="83"/>
      <c r="FZ61" s="83"/>
      <c r="GA61" s="83"/>
      <c r="GB61" s="83"/>
      <c r="GC61" s="83"/>
      <c r="GD61" s="83"/>
      <c r="GE61" s="83"/>
      <c r="GF61" s="83"/>
      <c r="GG61" s="83"/>
      <c r="GH61" s="83"/>
      <c r="GI61" s="83"/>
      <c r="GJ61" s="83"/>
      <c r="GK61" s="83"/>
      <c r="GL61" s="83"/>
      <c r="GM61" s="83"/>
      <c r="GN61" s="83"/>
      <c r="GO61" s="83"/>
      <c r="GP61" s="83"/>
      <c r="GQ61" s="83"/>
      <c r="GR61" s="83"/>
      <c r="GS61" s="83"/>
      <c r="GT61" s="83"/>
      <c r="GU61" s="83"/>
      <c r="GV61" s="83"/>
      <c r="GW61" s="83"/>
      <c r="GX61" s="83"/>
      <c r="GY61" s="83"/>
      <c r="GZ61" s="83"/>
      <c r="HA61" s="83"/>
      <c r="HB61" s="83"/>
      <c r="HC61" s="83"/>
      <c r="HD61" s="83"/>
      <c r="HE61" s="83"/>
      <c r="HF61" s="83"/>
      <c r="HG61" s="83"/>
      <c r="HH61" s="83"/>
      <c r="HI61" s="83"/>
      <c r="HJ61" s="83"/>
      <c r="HK61" s="83"/>
      <c r="HL61" s="83"/>
      <c r="HM61" s="83"/>
      <c r="HN61" s="83"/>
      <c r="HO61" s="83"/>
      <c r="HP61" s="83"/>
      <c r="HQ61" s="83"/>
      <c r="HR61" s="83"/>
      <c r="HS61" s="83"/>
      <c r="HT61" s="83"/>
      <c r="HU61" s="83"/>
      <c r="HV61" s="83"/>
      <c r="HW61" s="83"/>
      <c r="HX61" s="83"/>
      <c r="HY61" s="83"/>
      <c r="HZ61" s="83"/>
      <c r="IA61" s="83"/>
      <c r="IB61" s="83"/>
      <c r="IC61" s="83"/>
      <c r="ID61" s="83"/>
      <c r="IE61" s="83"/>
      <c r="IF61" s="83"/>
      <c r="IG61" s="83"/>
      <c r="IH61" s="83"/>
      <c r="II61" s="83"/>
      <c r="IJ61" s="83"/>
      <c r="IK61" s="83"/>
      <c r="IL61" s="83"/>
      <c r="IM61" s="83"/>
      <c r="IN61" s="83"/>
      <c r="IO61" s="83"/>
      <c r="IP61" s="83"/>
      <c r="IQ61" s="83"/>
      <c r="IR61" s="83"/>
      <c r="IS61" s="83"/>
      <c r="IT61" s="83"/>
    </row>
    <row r="62" spans="3:254" ht="12.75"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  <c r="AL62" s="83"/>
      <c r="AM62" s="83"/>
      <c r="AN62" s="83"/>
      <c r="AO62" s="83"/>
      <c r="AP62" s="83"/>
      <c r="AQ62" s="83"/>
      <c r="AR62" s="83"/>
      <c r="AS62" s="83"/>
      <c r="AT62" s="83"/>
      <c r="AU62" s="83"/>
      <c r="AV62" s="83"/>
      <c r="AW62" s="83"/>
      <c r="AX62" s="83"/>
      <c r="AY62" s="83"/>
      <c r="AZ62" s="83"/>
      <c r="BA62" s="83"/>
      <c r="BB62" s="83"/>
      <c r="BC62" s="83"/>
      <c r="BD62" s="83"/>
      <c r="BE62" s="83"/>
      <c r="BF62" s="83"/>
      <c r="BG62" s="83"/>
      <c r="BH62" s="83"/>
      <c r="BI62" s="83"/>
      <c r="BJ62" s="83"/>
      <c r="BK62" s="83"/>
      <c r="BL62" s="83"/>
      <c r="BM62" s="83"/>
      <c r="BN62" s="83"/>
      <c r="BO62" s="83"/>
      <c r="BP62" s="83"/>
      <c r="BQ62" s="83"/>
      <c r="BR62" s="83"/>
      <c r="BS62" s="83"/>
      <c r="BT62" s="83"/>
      <c r="BU62" s="83"/>
      <c r="BV62" s="83"/>
      <c r="BW62" s="83"/>
      <c r="BX62" s="83"/>
      <c r="BY62" s="83"/>
      <c r="BZ62" s="83"/>
      <c r="CA62" s="83"/>
      <c r="CB62" s="83"/>
      <c r="CC62" s="83"/>
      <c r="CD62" s="83"/>
      <c r="CE62" s="83"/>
      <c r="CF62" s="83"/>
      <c r="CG62" s="83"/>
      <c r="CH62" s="83"/>
      <c r="CI62" s="83"/>
      <c r="CJ62" s="83"/>
      <c r="CK62" s="83"/>
      <c r="CL62" s="83"/>
      <c r="CM62" s="83"/>
      <c r="CN62" s="83"/>
      <c r="CO62" s="83"/>
      <c r="CP62" s="83"/>
      <c r="CQ62" s="83"/>
      <c r="CR62" s="83"/>
      <c r="CS62" s="83"/>
      <c r="CT62" s="83"/>
      <c r="CU62" s="83"/>
      <c r="CV62" s="83"/>
      <c r="CW62" s="83"/>
      <c r="CX62" s="83"/>
      <c r="CY62" s="83"/>
      <c r="CZ62" s="83"/>
      <c r="DA62" s="83"/>
      <c r="DB62" s="83"/>
      <c r="DC62" s="83"/>
      <c r="DD62" s="83"/>
      <c r="DE62" s="83"/>
      <c r="DF62" s="83"/>
      <c r="DG62" s="83"/>
      <c r="DH62" s="83"/>
      <c r="DI62" s="83"/>
      <c r="DJ62" s="83"/>
      <c r="DK62" s="83"/>
      <c r="DL62" s="83"/>
      <c r="DM62" s="83"/>
      <c r="DN62" s="83"/>
      <c r="DO62" s="83"/>
      <c r="DP62" s="83"/>
      <c r="DQ62" s="83"/>
      <c r="DR62" s="83"/>
      <c r="DS62" s="83"/>
      <c r="DT62" s="83"/>
      <c r="DU62" s="83"/>
      <c r="DV62" s="83"/>
      <c r="DW62" s="83"/>
      <c r="DX62" s="83"/>
      <c r="DY62" s="83"/>
      <c r="DZ62" s="83"/>
      <c r="EA62" s="83"/>
      <c r="EB62" s="83"/>
      <c r="EC62" s="83"/>
      <c r="ED62" s="83"/>
      <c r="EE62" s="83"/>
      <c r="EF62" s="83"/>
      <c r="EG62" s="83"/>
      <c r="EH62" s="83"/>
      <c r="EI62" s="83"/>
      <c r="EJ62" s="83"/>
      <c r="EK62" s="83"/>
      <c r="EL62" s="83"/>
      <c r="EM62" s="83"/>
      <c r="EN62" s="83"/>
      <c r="EO62" s="83"/>
      <c r="EP62" s="83"/>
      <c r="EQ62" s="83"/>
      <c r="ER62" s="83"/>
      <c r="ES62" s="83"/>
      <c r="ET62" s="83"/>
      <c r="EU62" s="83"/>
      <c r="EV62" s="83"/>
      <c r="EW62" s="83"/>
      <c r="EX62" s="83"/>
      <c r="EY62" s="83"/>
      <c r="EZ62" s="83"/>
      <c r="FA62" s="83"/>
      <c r="FB62" s="83"/>
      <c r="FC62" s="83"/>
      <c r="FD62" s="83"/>
      <c r="FE62" s="83"/>
      <c r="FF62" s="83"/>
      <c r="FG62" s="83"/>
      <c r="FH62" s="83"/>
      <c r="FI62" s="83"/>
      <c r="FJ62" s="83"/>
      <c r="FK62" s="83"/>
      <c r="FL62" s="83"/>
      <c r="FM62" s="83"/>
      <c r="FN62" s="83"/>
      <c r="FO62" s="83"/>
      <c r="FP62" s="83"/>
      <c r="FQ62" s="83"/>
      <c r="FR62" s="83"/>
      <c r="FS62" s="83"/>
      <c r="FT62" s="83"/>
      <c r="FU62" s="83"/>
      <c r="FV62" s="83"/>
      <c r="FW62" s="83"/>
      <c r="FX62" s="83"/>
      <c r="FY62" s="83"/>
      <c r="FZ62" s="83"/>
      <c r="GA62" s="83"/>
      <c r="GB62" s="83"/>
      <c r="GC62" s="83"/>
      <c r="GD62" s="83"/>
      <c r="GE62" s="83"/>
      <c r="GF62" s="83"/>
      <c r="GG62" s="83"/>
      <c r="GH62" s="83"/>
      <c r="GI62" s="83"/>
      <c r="GJ62" s="83"/>
      <c r="GK62" s="83"/>
      <c r="GL62" s="83"/>
      <c r="GM62" s="83"/>
      <c r="GN62" s="83"/>
      <c r="GO62" s="83"/>
      <c r="GP62" s="83"/>
      <c r="GQ62" s="83"/>
      <c r="GR62" s="83"/>
      <c r="GS62" s="83"/>
      <c r="GT62" s="83"/>
      <c r="GU62" s="83"/>
      <c r="GV62" s="83"/>
      <c r="GW62" s="83"/>
      <c r="GX62" s="83"/>
      <c r="GY62" s="83"/>
      <c r="GZ62" s="83"/>
      <c r="HA62" s="83"/>
      <c r="HB62" s="83"/>
      <c r="HC62" s="83"/>
      <c r="HD62" s="83"/>
      <c r="HE62" s="83"/>
      <c r="HF62" s="83"/>
      <c r="HG62" s="83"/>
      <c r="HH62" s="83"/>
      <c r="HI62" s="83"/>
      <c r="HJ62" s="83"/>
      <c r="HK62" s="83"/>
      <c r="HL62" s="83"/>
      <c r="HM62" s="83"/>
      <c r="HN62" s="83"/>
      <c r="HO62" s="83"/>
      <c r="HP62" s="83"/>
      <c r="HQ62" s="83"/>
      <c r="HR62" s="83"/>
      <c r="HS62" s="83"/>
      <c r="HT62" s="83"/>
      <c r="HU62" s="83"/>
      <c r="HV62" s="83"/>
      <c r="HW62" s="83"/>
      <c r="HX62" s="83"/>
      <c r="HY62" s="83"/>
      <c r="HZ62" s="83"/>
      <c r="IA62" s="83"/>
      <c r="IB62" s="83"/>
      <c r="IC62" s="83"/>
      <c r="ID62" s="83"/>
      <c r="IE62" s="83"/>
      <c r="IF62" s="83"/>
      <c r="IG62" s="83"/>
      <c r="IH62" s="83"/>
      <c r="II62" s="83"/>
      <c r="IJ62" s="83"/>
      <c r="IK62" s="83"/>
      <c r="IL62" s="83"/>
      <c r="IM62" s="83"/>
      <c r="IN62" s="83"/>
      <c r="IO62" s="83"/>
      <c r="IP62" s="83"/>
      <c r="IQ62" s="83"/>
      <c r="IR62" s="83"/>
      <c r="IS62" s="83"/>
      <c r="IT62" s="83"/>
    </row>
  </sheetData>
  <conditionalFormatting sqref="K12:P12">
    <cfRule type="cellIs" priority="1" dxfId="0" operator="notEqual" stopIfTrue="1">
      <formula>$M$13</formula>
    </cfRule>
  </conditionalFormatting>
  <conditionalFormatting sqref="U10 X10">
    <cfRule type="cellIs" priority="2" dxfId="1" operator="equal" stopIfTrue="1">
      <formula>"Xmax="</formula>
    </cfRule>
  </conditionalFormatting>
  <conditionalFormatting sqref="H10">
    <cfRule type="expression" priority="3" dxfId="1" stopIfTrue="1">
      <formula>B11=K8/J3</formula>
    </cfRule>
  </conditionalFormatting>
  <conditionalFormatting sqref="T10">
    <cfRule type="expression" priority="4" dxfId="1" stopIfTrue="1">
      <formula>B11=K8/J3</formula>
    </cfRule>
  </conditionalFormatting>
  <conditionalFormatting sqref="G10">
    <cfRule type="cellIs" priority="5" dxfId="1" operator="equal" stopIfTrue="1">
      <formula>J6&amp;" Xmax ="</formula>
    </cfRule>
  </conditionalFormatting>
  <conditionalFormatting sqref="P10">
    <cfRule type="cellIs" priority="6" dxfId="1" operator="equal" stopIfTrue="1">
      <formula>"Xmax ="</formula>
    </cfRule>
  </conditionalFormatting>
  <conditionalFormatting sqref="B11">
    <cfRule type="expression" priority="7" dxfId="1" stopIfTrue="1">
      <formula>$B$11=K8/J3</formula>
    </cfRule>
  </conditionalFormatting>
  <conditionalFormatting sqref="C11">
    <cfRule type="expression" priority="8" dxfId="1" stopIfTrue="1">
      <formula>$B$11=K8/J3</formula>
    </cfRule>
  </conditionalFormatting>
  <conditionalFormatting sqref="A11">
    <cfRule type="expression" priority="9" dxfId="1" stopIfTrue="1">
      <formula>$B$11=K8/J3</formula>
    </cfRule>
  </conditionalFormatting>
  <printOptions/>
  <pageMargins left="0.75" right="0.75" top="1" bottom="1" header="0.4921259845" footer="0.4921259845"/>
  <pageSetup orientation="landscape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:AC58"/>
  <sheetViews>
    <sheetView showGridLines="0" showRowColHeaders="0" workbookViewId="0" topLeftCell="A1">
      <selection activeCell="A3" sqref="A3"/>
    </sheetView>
  </sheetViews>
  <sheetFormatPr defaultColWidth="11.421875" defaultRowHeight="12.75"/>
  <cols>
    <col min="1" max="1" width="8.7109375" style="0" customWidth="1"/>
    <col min="2" max="2" width="4.00390625" style="0" customWidth="1"/>
    <col min="3" max="3" width="7.140625" style="0" customWidth="1"/>
    <col min="4" max="4" width="6.8515625" style="0" customWidth="1"/>
    <col min="5" max="5" width="0.85546875" style="0" customWidth="1"/>
    <col min="6" max="6" width="1.7109375" style="0" customWidth="1"/>
    <col min="7" max="7" width="3.421875" style="0" customWidth="1"/>
    <col min="8" max="8" width="1.421875" style="0" customWidth="1"/>
    <col min="9" max="9" width="1.8515625" style="0" customWidth="1"/>
    <col min="10" max="10" width="8.28125" style="0" customWidth="1"/>
    <col min="11" max="11" width="8.7109375" style="0" customWidth="1"/>
    <col min="12" max="12" width="6.8515625" style="0" customWidth="1"/>
    <col min="13" max="13" width="0.85546875" style="0" customWidth="1"/>
    <col min="14" max="14" width="0.2890625" style="0" customWidth="1"/>
    <col min="15" max="15" width="3.140625" style="0" customWidth="1"/>
    <col min="16" max="16" width="1.421875" style="0" customWidth="1"/>
    <col min="17" max="17" width="7.7109375" style="0" customWidth="1"/>
    <col min="18" max="18" width="0.2890625" style="0" customWidth="1"/>
    <col min="19" max="19" width="2.140625" style="0" customWidth="1"/>
    <col min="20" max="20" width="4.28125" style="0" customWidth="1"/>
    <col min="21" max="21" width="8.28125" style="0" customWidth="1"/>
    <col min="22" max="22" width="1.7109375" style="0" customWidth="1"/>
    <col min="23" max="23" width="4.28125" style="0" customWidth="1"/>
    <col min="24" max="24" width="11.28125" style="0" customWidth="1"/>
    <col min="25" max="25" width="7.140625" style="0" customWidth="1"/>
    <col min="26" max="27" width="11.421875" style="6" customWidth="1"/>
  </cols>
  <sheetData>
    <row r="1" spans="1:25" ht="25.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</row>
    <row r="2" spans="1:25" ht="22.5" customHeight="1">
      <c r="A2" s="6"/>
      <c r="B2" s="7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12"/>
      <c r="R2" s="12"/>
      <c r="S2" s="12"/>
      <c r="U2" s="19"/>
      <c r="V2" s="6"/>
      <c r="W2" s="20"/>
      <c r="Y2" s="6"/>
    </row>
    <row r="3" spans="1:28" ht="0.75" customHeight="1">
      <c r="A3" s="77">
        <v>0</v>
      </c>
      <c r="B3" s="106">
        <f>IF(C3&lt;D3,C3,D3)</f>
        <v>0</v>
      </c>
      <c r="C3" s="14">
        <f>'dosage d'oxydo-réduction'!val_compteur_avancement</f>
        <v>0</v>
      </c>
      <c r="D3" s="13">
        <f>'dosage d'oxydo-réduction'!C_becher*'dosage d'oxydo-réduction'!V_becher*coef_réact_2*100/('dosage d'oxydo-réduction'!C_burette*coef_réact_1)</f>
        <v>1250</v>
      </c>
      <c r="E3" s="13"/>
      <c r="F3" s="13"/>
      <c r="G3" s="13"/>
      <c r="H3" s="13"/>
      <c r="I3" s="28">
        <v>5</v>
      </c>
      <c r="J3" s="13">
        <v>193</v>
      </c>
      <c r="K3" s="13"/>
      <c r="L3" s="13"/>
      <c r="M3" s="13"/>
      <c r="N3" s="13"/>
      <c r="O3" s="13"/>
      <c r="P3" s="384">
        <v>1</v>
      </c>
      <c r="Q3" s="13">
        <v>1</v>
      </c>
      <c r="R3" s="14">
        <f>IF(ISBLANK(T6),1,T6)</f>
        <v>5</v>
      </c>
      <c r="S3" s="13"/>
      <c r="T3" s="28">
        <v>5</v>
      </c>
      <c r="U3" s="13"/>
      <c r="V3" s="13"/>
      <c r="W3" s="28">
        <v>1</v>
      </c>
      <c r="X3" s="13"/>
      <c r="Y3" s="6"/>
      <c r="Z3" s="13">
        <v>0</v>
      </c>
      <c r="AA3" s="13">
        <f>C8</f>
        <v>0</v>
      </c>
      <c r="AB3">
        <f>N_init_réactif_1/5</f>
        <v>0.001</v>
      </c>
    </row>
    <row r="4" spans="1:28" ht="0.75" customHeight="1">
      <c r="A4" s="77"/>
      <c r="B4" s="21"/>
      <c r="C4" s="13"/>
      <c r="D4" s="74"/>
      <c r="E4" s="13"/>
      <c r="F4" s="13"/>
      <c r="G4" s="13"/>
      <c r="H4" s="13"/>
      <c r="I4" s="22"/>
      <c r="J4" s="13"/>
      <c r="K4" s="13"/>
      <c r="L4" s="13"/>
      <c r="M4" s="13"/>
      <c r="N4" s="13"/>
      <c r="O4" s="13"/>
      <c r="P4" s="14"/>
      <c r="Q4" s="13"/>
      <c r="R4" s="13"/>
      <c r="S4" s="13"/>
      <c r="T4" s="13"/>
      <c r="U4" s="13"/>
      <c r="V4" s="13"/>
      <c r="W4" s="13"/>
      <c r="X4" s="13"/>
      <c r="Y4" s="6"/>
      <c r="Z4" s="26">
        <f>'dosage d''oxydo-réduction'!B9</f>
        <v>0</v>
      </c>
      <c r="AA4" s="390">
        <f>C9</f>
        <v>0</v>
      </c>
      <c r="AB4">
        <f>AB3*1.1</f>
        <v>0.0011</v>
      </c>
    </row>
    <row r="5" spans="1:27" ht="0.75" customHeight="1" thickBot="1">
      <c r="A5" s="76"/>
      <c r="B5" s="50"/>
      <c r="C5" s="51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3"/>
      <c r="W5" s="53"/>
      <c r="X5" s="53"/>
      <c r="Y5" s="6"/>
      <c r="Z5" s="13">
        <f>C3/100</f>
        <v>0</v>
      </c>
      <c r="AA5" s="60">
        <f>Avancement</f>
        <v>0</v>
      </c>
    </row>
    <row r="6" spans="1:29" ht="16.5" customHeight="1" thickBot="1">
      <c r="A6" s="300" t="s">
        <v>0</v>
      </c>
      <c r="B6" s="301"/>
      <c r="C6" s="301"/>
      <c r="D6" s="302"/>
      <c r="E6" s="302"/>
      <c r="F6" s="302"/>
      <c r="G6" s="302"/>
      <c r="H6" s="302"/>
      <c r="I6" s="303">
        <f>coef_réact_1</f>
        <v>5</v>
      </c>
      <c r="J6" s="374" t="s">
        <v>37</v>
      </c>
      <c r="K6" s="333" t="s">
        <v>50</v>
      </c>
      <c r="L6" s="304"/>
      <c r="M6" s="304"/>
      <c r="N6" s="302"/>
      <c r="O6" s="377" t="s">
        <v>6</v>
      </c>
      <c r="P6" s="303">
        <f>IF(coef_réact_2=1,"",coef_réact_2)</f>
      </c>
      <c r="Q6" s="314" t="s">
        <v>23</v>
      </c>
      <c r="R6" s="305"/>
      <c r="S6" s="360" t="s">
        <v>12</v>
      </c>
      <c r="T6" s="306">
        <f>coef_prod1</f>
        <v>5</v>
      </c>
      <c r="U6" s="374" t="s">
        <v>25</v>
      </c>
      <c r="V6" s="307" t="s">
        <v>6</v>
      </c>
      <c r="W6" s="308">
        <f>IF(coef_prod2=1,"",coef_prod2)</f>
      </c>
      <c r="X6" s="287" t="s">
        <v>40</v>
      </c>
      <c r="Y6" s="334" t="s">
        <v>42</v>
      </c>
      <c r="AB6" s="418" t="str">
        <f>IF(J6="I2(aq)","I2(aq)","Fe2+")</f>
        <v>Fe2+</v>
      </c>
      <c r="AC6" s="418" t="str">
        <f>IF(X6="S4O62-(aq)","S4O62-(aq)","Mn2+")</f>
        <v>Mn2+</v>
      </c>
    </row>
    <row r="7" spans="1:25" ht="14.25" customHeight="1">
      <c r="A7" s="82" t="s">
        <v>1</v>
      </c>
      <c r="B7" s="252" t="s">
        <v>11</v>
      </c>
      <c r="C7" s="257"/>
      <c r="D7" s="263"/>
      <c r="E7" s="264"/>
      <c r="F7" s="264"/>
      <c r="G7" s="379" t="s">
        <v>28</v>
      </c>
      <c r="H7" s="265"/>
      <c r="I7" s="264"/>
      <c r="J7" s="266"/>
      <c r="K7" s="311"/>
      <c r="L7" s="378" t="s">
        <v>51</v>
      </c>
      <c r="M7" s="54"/>
      <c r="N7" s="54"/>
      <c r="O7" s="142"/>
      <c r="P7" s="55"/>
      <c r="Q7" s="55"/>
      <c r="R7" s="56"/>
      <c r="S7" s="212" t="s">
        <v>33</v>
      </c>
      <c r="T7" s="211"/>
      <c r="U7" s="236"/>
      <c r="V7" s="292" t="s">
        <v>43</v>
      </c>
      <c r="W7" s="293"/>
      <c r="X7" s="335"/>
      <c r="Y7" s="375"/>
    </row>
    <row r="8" spans="1:25" ht="11.25" customHeight="1">
      <c r="A8" s="29" t="s">
        <v>2</v>
      </c>
      <c r="B8" s="258" t="s">
        <v>5</v>
      </c>
      <c r="C8" s="259">
        <v>0</v>
      </c>
      <c r="D8" s="267"/>
      <c r="E8" s="268"/>
      <c r="F8" s="268"/>
      <c r="G8" s="269"/>
      <c r="H8" s="269"/>
      <c r="I8" s="270"/>
      <c r="J8" s="271">
        <f>'dosage d'oxydo-réduction'!N_init_réactif_1</f>
        <v>0.005</v>
      </c>
      <c r="K8" s="365" t="s">
        <v>46</v>
      </c>
      <c r="L8" s="31"/>
      <c r="M8" s="2"/>
      <c r="N8" s="2"/>
      <c r="O8" s="2"/>
      <c r="P8" s="1"/>
      <c r="Q8" s="386">
        <f>'dosage d'oxydo-réduction'!N_init_réactif_2</f>
        <v>0</v>
      </c>
      <c r="R8" s="33"/>
      <c r="S8" s="214"/>
      <c r="T8" s="215"/>
      <c r="U8" s="237">
        <v>0</v>
      </c>
      <c r="V8" s="294"/>
      <c r="W8" s="295"/>
      <c r="X8" s="336">
        <v>0</v>
      </c>
      <c r="Y8" s="376" t="s">
        <v>45</v>
      </c>
    </row>
    <row r="9" spans="1:25" ht="0.75" customHeight="1">
      <c r="A9" s="30"/>
      <c r="B9" s="256" t="str">
        <f>B10</f>
        <v> Xm=</v>
      </c>
      <c r="C9" s="260">
        <f>IF(J10&gt;0,C10,N_init_réactif_1/coef_réact_1)</f>
        <v>0</v>
      </c>
      <c r="D9" s="272">
        <f>D10</f>
        <v>0.005</v>
      </c>
      <c r="E9" s="273" t="str">
        <f>E10</f>
        <v>-</v>
      </c>
      <c r="F9" s="274">
        <f>F10</f>
        <v>5</v>
      </c>
      <c r="G9" s="275" t="str">
        <f>G10</f>
        <v>Xm</v>
      </c>
      <c r="H9" s="270" t="str">
        <f>H10</f>
        <v>=</v>
      </c>
      <c r="I9" s="270"/>
      <c r="J9" s="276">
        <f>J10</f>
        <v>0.005</v>
      </c>
      <c r="K9" s="364"/>
      <c r="L9" s="34"/>
      <c r="M9" s="23"/>
      <c r="N9" s="23"/>
      <c r="O9" s="23"/>
      <c r="P9" s="24"/>
      <c r="Q9" s="35">
        <v>0</v>
      </c>
      <c r="R9" s="33"/>
      <c r="S9" s="218"/>
      <c r="T9" s="230"/>
      <c r="U9" s="238">
        <f>U10</f>
        <v>0</v>
      </c>
      <c r="V9" s="296"/>
      <c r="W9" s="296"/>
      <c r="X9" s="297">
        <f>X10</f>
        <v>0</v>
      </c>
      <c r="Y9" s="357"/>
    </row>
    <row r="10" spans="1:25" ht="19.5" customHeight="1" thickBot="1">
      <c r="A10" s="422" t="s">
        <v>3</v>
      </c>
      <c r="B10" s="312" t="s">
        <v>49</v>
      </c>
      <c r="C10" s="262">
        <f>(val_compteur_avancement*'dosage d'oxydo-réduction'!C_burette/coef_réact_2)/100000</f>
        <v>0</v>
      </c>
      <c r="D10" s="277">
        <f>J8</f>
        <v>0.005</v>
      </c>
      <c r="E10" s="278" t="s">
        <v>7</v>
      </c>
      <c r="F10" s="279">
        <f>IF(coef_réact_1=1,"",coef_réact_1)</f>
        <v>5</v>
      </c>
      <c r="G10" s="393" t="str">
        <f>IF(J10&gt;0,"Xm","Xmax")</f>
        <v>Xm</v>
      </c>
      <c r="H10" s="280" t="s">
        <v>4</v>
      </c>
      <c r="I10" s="280"/>
      <c r="J10" s="281">
        <f>IF((N_init_réactif_1-(Avancement*coef_réact_1))&gt;0,N_init_réactif_1-(Avancement*coef_réact_1),0)</f>
        <v>0.005</v>
      </c>
      <c r="K10" s="366" t="s">
        <v>47</v>
      </c>
      <c r="L10" s="387">
        <f>N_init_réactif_2</f>
        <v>0</v>
      </c>
      <c r="M10" s="37" t="s">
        <v>7</v>
      </c>
      <c r="N10" s="38"/>
      <c r="O10" s="412" t="str">
        <f>IF(J10&gt;0,IF(coef_réact_2=1,"Xm  =",coef_réact_2&amp;" Xm  ="),IF(coef_réact_2=1,"Xmax =",coef_réact_2&amp;"Xmax ="))</f>
        <v>Xm  =</v>
      </c>
      <c r="P10" s="39"/>
      <c r="Q10" s="40">
        <f>IF(J10&gt;0,0,ABS(N_init_réactif_2-(C11*coef_réact_2)))</f>
        <v>0</v>
      </c>
      <c r="R10" s="41"/>
      <c r="S10" s="399">
        <f>IF(coef_prod1=1,"",coef_prod1)</f>
        <v>5</v>
      </c>
      <c r="T10" s="394" t="str">
        <f>IF(J10&gt;0,"Xm =","Xmax=")</f>
        <v>Xm =</v>
      </c>
      <c r="U10" s="239">
        <f>IF(J10&gt;0,Avancement*coef_prod1,X_equiv*coef_prod1)</f>
        <v>0</v>
      </c>
      <c r="V10" s="298">
        <f>IF(coef_prod2=1,"",coef_prod2)</f>
      </c>
      <c r="W10" s="398" t="str">
        <f>IF(J10&gt;0,"Xm=","Xmax=")</f>
        <v>Xm=</v>
      </c>
      <c r="X10" s="299">
        <f>IF(J10&gt;0,Avancement*coef_prod2,X_equiv*coef_prod2)</f>
        <v>0</v>
      </c>
      <c r="Y10" s="381" t="s">
        <v>46</v>
      </c>
    </row>
    <row r="11" spans="1:25" ht="12" customHeight="1" thickBot="1">
      <c r="A11" s="240">
        <f>IF(J10&gt;0,"","Etat final")</f>
      </c>
      <c r="B11" s="414">
        <f>IF(J10&gt;0,"","Xmax=")</f>
      </c>
      <c r="C11" s="413">
        <f>IF(J10&gt;0,"",N_init_réactif_1/coef_réact_1)</f>
      </c>
      <c r="D11" s="199">
        <f>IF(J10&gt;0,"",N_init_réactif_1)</f>
      </c>
      <c r="E11" s="200">
        <f>IF(J10&gt;0,"","-")</f>
      </c>
      <c r="F11" s="201">
        <f>IF(OR(ISBLANK(coef_réact_1),coef_réact_1=1,J10&gt;0),"",coef_réact_1)</f>
      </c>
      <c r="G11" s="396">
        <f>IF(J10&gt;0,"","Xmax")</f>
      </c>
      <c r="H11" s="200">
        <f>IF(J10&gt;0,"","=")</f>
      </c>
      <c r="I11" s="200"/>
      <c r="J11" s="203">
        <f>IF(J10&gt;0,"",J10)</f>
      </c>
      <c r="K11" s="205"/>
      <c r="L11" s="199">
        <f>IF(J10&gt;0,"",N_init_réactif_2)</f>
      </c>
      <c r="M11" s="200">
        <f>IF(J10&gt;0,"","-")</f>
      </c>
      <c r="N11" s="201">
        <f>IF(OR(ISBLANK(coef_réactif2),coef_réactif2=1,J10&gt;0),"",coef_réactif2)</f>
      </c>
      <c r="O11" s="389">
        <f>IF(J10&gt;0,"",IF(coef_réact_2=1,"Xmax=",coef_réact_2&amp;"Xmax="))</f>
      </c>
      <c r="P11" s="200"/>
      <c r="Q11" s="110">
        <f>IF(J10&gt;0,"",Q10)</f>
      </c>
      <c r="R11" s="206"/>
      <c r="S11" s="201">
        <f>IF(OR(ISBLANK(coef_prod1),coef_prod1=1,J10&gt;0),"",coef_prod1)</f>
      </c>
      <c r="T11" s="389">
        <f>IF(J10&gt;0,"","Xmax=")</f>
      </c>
      <c r="U11" s="203">
        <f>IF(J10&gt;0,"",U10)</f>
      </c>
      <c r="V11" s="209">
        <f>IF(OR(ISBLANK(coef_prod2),coef_prod2=1,J10&gt;0),"",coef_prod2)</f>
      </c>
      <c r="W11" s="389">
        <f>IF(J10&gt;0,"","Xmax=")</f>
      </c>
      <c r="X11" s="210">
        <f>IF(J10&gt;0,"",X10)</f>
      </c>
      <c r="Y11" s="382"/>
    </row>
    <row r="12" spans="1:25" ht="12.75">
      <c r="A12" s="2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</row>
    <row r="13" spans="1:25" ht="12.7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</row>
    <row r="14" spans="1:25" ht="12.7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</row>
    <row r="15" spans="1:25" ht="12.75">
      <c r="A15" s="6"/>
      <c r="B15" s="6"/>
      <c r="C15" s="6"/>
      <c r="D15" s="6"/>
      <c r="E15" s="6"/>
      <c r="F15" s="6"/>
      <c r="G15" s="94"/>
      <c r="H15" s="6"/>
      <c r="I15" s="42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</row>
    <row r="16" spans="1:25" ht="12.75">
      <c r="A16" s="6"/>
      <c r="B16" s="6"/>
      <c r="C16" s="6"/>
      <c r="D16" s="6"/>
      <c r="E16" s="6"/>
      <c r="F16" s="6"/>
      <c r="G16" s="6"/>
      <c r="H16" s="95"/>
      <c r="I16" s="95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</row>
    <row r="17" spans="1:25" ht="12.75">
      <c r="A17" s="6"/>
      <c r="B17" s="6"/>
      <c r="C17" s="6"/>
      <c r="D17" s="6"/>
      <c r="E17" s="6"/>
      <c r="F17" s="6"/>
      <c r="G17" s="6"/>
      <c r="H17" s="95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</row>
    <row r="18" spans="1:25" ht="12.75">
      <c r="A18" s="6"/>
      <c r="B18" s="6"/>
      <c r="C18" s="6"/>
      <c r="D18" s="6"/>
      <c r="E18" s="6"/>
      <c r="G18" s="49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</row>
    <row r="19" spans="1:25" ht="12.75">
      <c r="A19" s="6"/>
      <c r="B19" s="6"/>
      <c r="C19" s="6"/>
      <c r="D19" s="6"/>
      <c r="E19" s="6"/>
      <c r="F19" s="6"/>
      <c r="G19" s="73"/>
      <c r="H19" s="6"/>
      <c r="I19" s="25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</row>
    <row r="20" spans="1:25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T20" s="6"/>
      <c r="U20" s="6"/>
      <c r="V20" s="6"/>
      <c r="W20" s="6"/>
      <c r="X20" s="6"/>
      <c r="Y20" s="6"/>
    </row>
    <row r="21" spans="1:25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T21" s="6"/>
      <c r="U21" s="6"/>
      <c r="V21" s="6"/>
      <c r="W21" s="6"/>
      <c r="X21" s="6"/>
      <c r="Y21" s="6"/>
    </row>
    <row r="22" spans="1:25" ht="12.75">
      <c r="A22" s="6"/>
      <c r="B22" s="6"/>
      <c r="C22" s="6"/>
      <c r="D22" s="6"/>
      <c r="E22" s="6"/>
      <c r="F22" s="6"/>
      <c r="G22" s="84"/>
      <c r="H22" s="87"/>
      <c r="I22" s="87"/>
      <c r="J22" s="6"/>
      <c r="K22" s="6"/>
      <c r="L22" s="6"/>
      <c r="M22" s="6"/>
      <c r="N22" s="6"/>
      <c r="O22" s="6"/>
      <c r="P22" s="6"/>
      <c r="Q22" s="6"/>
      <c r="R22" s="6"/>
      <c r="T22" s="6"/>
      <c r="U22" s="6"/>
      <c r="V22" s="6"/>
      <c r="W22" s="6"/>
      <c r="X22" s="6"/>
      <c r="Y22" s="6"/>
    </row>
    <row r="23" spans="1:25" ht="12.75">
      <c r="A23" s="6"/>
      <c r="B23" s="6"/>
      <c r="C23" s="6"/>
      <c r="D23" s="6"/>
      <c r="E23" s="6"/>
      <c r="F23" s="6"/>
      <c r="G23" s="88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12"/>
      <c r="T23" s="6"/>
      <c r="U23" s="6"/>
      <c r="V23" s="6"/>
      <c r="W23" s="6"/>
      <c r="X23" s="6"/>
      <c r="Y23" s="6"/>
    </row>
    <row r="24" spans="1:25" ht="12.75">
      <c r="A24" s="6"/>
      <c r="B24" s="6"/>
      <c r="C24" s="6"/>
      <c r="D24" s="6"/>
      <c r="E24" s="6"/>
      <c r="F24" s="6"/>
      <c r="G24" s="96"/>
      <c r="H24" s="6"/>
      <c r="I24" s="68"/>
      <c r="J24" s="6"/>
      <c r="K24" s="6"/>
      <c r="L24" s="6"/>
      <c r="M24" s="6"/>
      <c r="N24" s="6"/>
      <c r="O24" s="6"/>
      <c r="P24" s="6"/>
      <c r="Q24" s="6"/>
      <c r="R24" s="6"/>
      <c r="T24" s="6"/>
      <c r="U24" s="6"/>
      <c r="V24" s="6"/>
      <c r="W24" s="6"/>
      <c r="X24" s="6"/>
      <c r="Y24" s="6"/>
    </row>
    <row r="25" spans="1:25" ht="12.75">
      <c r="A25" s="6"/>
      <c r="B25" s="6"/>
      <c r="C25" s="6"/>
      <c r="D25" s="6"/>
      <c r="E25" s="6"/>
      <c r="F25" s="6"/>
      <c r="G25" s="97"/>
      <c r="H25" s="95"/>
      <c r="I25" s="68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</row>
    <row r="26" spans="1:25" ht="12.75">
      <c r="A26" s="6"/>
      <c r="B26" s="6"/>
      <c r="C26" s="6"/>
      <c r="D26" s="6"/>
      <c r="E26" s="6"/>
      <c r="F26" s="6"/>
      <c r="G26" s="95"/>
      <c r="H26" s="95"/>
      <c r="I26" s="6"/>
      <c r="J26" s="6"/>
      <c r="K26" s="6"/>
      <c r="L26" s="6"/>
      <c r="M26" s="6"/>
      <c r="N26" s="6"/>
      <c r="O26" s="6"/>
      <c r="P26" s="6"/>
      <c r="Q26" s="6"/>
      <c r="R26" s="6"/>
      <c r="T26" s="116"/>
      <c r="V26" s="6"/>
      <c r="W26" s="6"/>
      <c r="X26" s="6"/>
      <c r="Y26" s="6"/>
    </row>
    <row r="27" spans="1:25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</row>
    <row r="28" spans="1:25" ht="12.75">
      <c r="A28" s="6"/>
      <c r="B28" s="6"/>
      <c r="C28" s="6"/>
      <c r="D28" s="6"/>
      <c r="E28" s="6"/>
      <c r="F28" s="6"/>
      <c r="G28" s="7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</row>
    <row r="29" spans="1:25" ht="12.75">
      <c r="A29" s="402">
        <f>IF(N_init_réactif_2=0,"",IF((N_init_réactif_2/coef_réact_2)&lt;(N_init_réactif_1/coef_réact_1),"Le réactif titrant (permanganate) est limitant",""))</f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107"/>
      <c r="M29" s="6"/>
      <c r="N29" s="6"/>
      <c r="O29" s="107"/>
      <c r="P29" s="6"/>
      <c r="Q29" s="6"/>
      <c r="R29" s="6"/>
      <c r="S29" s="6"/>
      <c r="T29" s="6"/>
      <c r="U29" s="6"/>
      <c r="V29" s="6"/>
      <c r="W29" s="6"/>
      <c r="X29" s="6"/>
      <c r="Y29" s="6"/>
    </row>
    <row r="30" spans="1:25" ht="12.75" customHeight="1">
      <c r="A30" s="107">
        <f>IF((N_init_réactif_2/coef_réact_2)=(N_init_réactif_1/coef_réact_1),"Les réactifs titrant et titré sont intégralement consommés",IF((N_init_réactif_2/coef_réact_2)&gt;(N_init_réactif_1/coef_réact_1),"Le réactif titré (Fer II) est devenu limitant",""))</f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R30" s="6"/>
      <c r="S30" s="6"/>
      <c r="T30" s="6"/>
      <c r="U30" s="6"/>
      <c r="V30" s="6"/>
      <c r="W30" s="6"/>
      <c r="X30" s="6"/>
      <c r="Y30" s="6"/>
    </row>
    <row r="31" spans="1:25" ht="12.75" customHeight="1">
      <c r="A31" s="68">
        <f>IF((N_init_réactif_2/coef_réact_2)&lt;(N_init_réactif_1/coef_réact_1),"",IF((N_init_réactif_2/coef_réact_2)=(N_init_réactif_1/coef_réact_1),"l'équivalence est atteinte","l'équivalence est dépassée"))</f>
      </c>
      <c r="B31" s="6"/>
      <c r="C31" s="6"/>
      <c r="D31" s="6"/>
      <c r="E31" s="6"/>
      <c r="F31" s="6"/>
      <c r="G31" s="117">
        <f>IF((N_init_réactif_2/coef_réact_2)&gt;=(N_init_réactif_1/coef_réact_1),"Xmax=","")</f>
      </c>
      <c r="H31" s="6"/>
      <c r="I31" s="6"/>
      <c r="J31" s="118">
        <f>IF((N_init_réactif_2/coef_réact_2)&gt;=(N_init_réactif_1/coef_réact_1),X_equiv,"")</f>
      </c>
      <c r="K31" s="6"/>
      <c r="L31" s="6"/>
      <c r="M31" s="6"/>
      <c r="N31" s="6"/>
      <c r="O31" s="6"/>
      <c r="P31" s="6"/>
      <c r="Q31" s="98"/>
      <c r="R31" s="6"/>
      <c r="S31" s="99"/>
      <c r="T31" s="6"/>
      <c r="U31" s="6"/>
      <c r="V31" s="6"/>
      <c r="W31" s="6"/>
      <c r="X31" s="6"/>
      <c r="Y31" s="6"/>
    </row>
    <row r="32" spans="1:27" s="61" customFormat="1" ht="20.25" customHeight="1">
      <c r="A32" s="60"/>
      <c r="B32" s="60"/>
      <c r="C32" s="60"/>
      <c r="D32" s="60"/>
      <c r="E32" s="101"/>
      <c r="F32" s="101"/>
      <c r="G32" s="101"/>
      <c r="H32" s="101"/>
      <c r="I32" s="101"/>
      <c r="J32" s="101"/>
      <c r="K32" s="101"/>
      <c r="L32" s="60"/>
      <c r="M32" s="60"/>
      <c r="N32" s="60"/>
      <c r="O32" s="60"/>
      <c r="P32" s="60"/>
      <c r="R32" s="60"/>
      <c r="S32" s="60"/>
      <c r="T32" s="60"/>
      <c r="V32" s="60"/>
      <c r="W32" s="60"/>
      <c r="X32" s="60"/>
      <c r="Y32" s="60"/>
      <c r="Z32" s="60"/>
      <c r="AA32" s="60"/>
    </row>
    <row r="33" spans="1:25" ht="18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</row>
    <row r="34" spans="1:25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</row>
    <row r="35" spans="1:25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7"/>
      <c r="U35" s="6"/>
      <c r="V35" s="6"/>
      <c r="W35" s="6"/>
      <c r="X35" s="6"/>
      <c r="Y35" s="6"/>
    </row>
    <row r="36" spans="1:25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</row>
    <row r="37" spans="1:25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</row>
    <row r="38" spans="1:25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</row>
    <row r="40" spans="1:25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</row>
    <row r="41" spans="1:25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</row>
    <row r="42" spans="1:25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</row>
    <row r="43" spans="1:25" ht="12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</row>
    <row r="44" spans="1:25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</row>
    <row r="45" spans="1:25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</row>
    <row r="46" spans="1:25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</row>
    <row r="47" spans="1:25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</row>
    <row r="48" spans="1:25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</row>
    <row r="49" spans="1:25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</row>
    <row r="50" spans="1:25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</row>
    <row r="51" spans="1:25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</row>
    <row r="52" spans="1:25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</row>
    <row r="53" spans="1:25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</row>
    <row r="54" spans="1:25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</row>
    <row r="55" spans="1:25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</row>
    <row r="56" spans="1:25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</row>
    <row r="57" spans="1:25" ht="12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</row>
    <row r="58" spans="1:25" ht="12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</row>
  </sheetData>
  <conditionalFormatting sqref="F10:G10">
    <cfRule type="expression" priority="1" dxfId="1" stopIfTrue="1">
      <formula>$G$10="Xmax"</formula>
    </cfRule>
  </conditionalFormatting>
  <conditionalFormatting sqref="S10:T10">
    <cfRule type="expression" priority="2" dxfId="1" stopIfTrue="1">
      <formula>$T$10="Xmax="</formula>
    </cfRule>
  </conditionalFormatting>
  <conditionalFormatting sqref="W10">
    <cfRule type="expression" priority="3" dxfId="1" stopIfTrue="1">
      <formula>$W$10="Xmax="</formula>
    </cfRule>
  </conditionalFormatting>
  <conditionalFormatting sqref="O10:P10">
    <cfRule type="expression" priority="4" dxfId="1" stopIfTrue="1">
      <formula>$O$10="Xmax ="</formula>
    </cfRule>
  </conditionalFormatting>
  <conditionalFormatting sqref="B11:C11">
    <cfRule type="expression" priority="5" dxfId="1" stopIfTrue="1">
      <formula>$C$11=$J$8/$I$6</formula>
    </cfRule>
  </conditionalFormatting>
  <conditionalFormatting sqref="A29:A30 O29 L29">
    <cfRule type="cellIs" priority="6" dxfId="2" operator="equal" stopIfTrue="1">
      <formula>$A$29</formula>
    </cfRule>
  </conditionalFormatting>
  <printOptions/>
  <pageMargins left="0.75" right="0.75" top="1" bottom="1" header="0.4921259845" footer="0.4921259845"/>
  <pageSetup orientation="landscape" paperSize="9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9"/>
  <dimension ref="A1:IS62"/>
  <sheetViews>
    <sheetView showGridLines="0" showRowColHeaders="0" workbookViewId="0" topLeftCell="A1">
      <selection activeCell="A70" sqref="A70"/>
    </sheetView>
  </sheetViews>
  <sheetFormatPr defaultColWidth="11.421875" defaultRowHeight="12.75"/>
  <cols>
    <col min="1" max="1" width="9.57421875" style="0" customWidth="1"/>
    <col min="2" max="2" width="8.28125" style="0" customWidth="1"/>
    <col min="3" max="3" width="2.7109375" style="0" customWidth="1"/>
    <col min="4" max="4" width="0.13671875" style="0" customWidth="1"/>
    <col min="5" max="5" width="7.00390625" style="0" customWidth="1"/>
    <col min="6" max="6" width="0.85546875" style="0" customWidth="1"/>
    <col min="7" max="7" width="2.140625" style="0" customWidth="1"/>
    <col min="8" max="8" width="4.00390625" style="0" customWidth="1"/>
    <col min="9" max="9" width="1.421875" style="0" customWidth="1"/>
    <col min="10" max="10" width="4.8515625" style="0" customWidth="1"/>
    <col min="11" max="11" width="11.140625" style="0" customWidth="1"/>
    <col min="12" max="12" width="7.140625" style="0" customWidth="1"/>
    <col min="13" max="13" width="0.85546875" style="0" customWidth="1"/>
    <col min="14" max="14" width="0.2890625" style="0" customWidth="1"/>
    <col min="15" max="15" width="3.8515625" style="0" customWidth="1"/>
    <col min="16" max="16" width="2.28125" style="0" customWidth="1"/>
    <col min="17" max="17" width="10.57421875" style="0" customWidth="1"/>
    <col min="18" max="18" width="0.2890625" style="0" customWidth="1"/>
    <col min="19" max="19" width="2.28125" style="0" customWidth="1"/>
    <col min="20" max="20" width="4.28125" style="0" customWidth="1"/>
    <col min="21" max="21" width="9.421875" style="0" customWidth="1"/>
    <col min="22" max="22" width="1.7109375" style="0" customWidth="1"/>
    <col min="23" max="23" width="4.7109375" style="0" customWidth="1"/>
    <col min="24" max="24" width="12.28125" style="0" customWidth="1"/>
    <col min="26" max="27" width="11.421875" style="6" customWidth="1"/>
  </cols>
  <sheetData>
    <row r="1" spans="1:35" ht="25.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388">
        <f>N_init_réactif_1</f>
        <v>0.0007000000000000001</v>
      </c>
      <c r="AA1" s="388">
        <f>Z1*2</f>
        <v>0.0014000000000000002</v>
      </c>
      <c r="AB1" s="388"/>
      <c r="AC1" s="388"/>
      <c r="AD1" s="6"/>
      <c r="AE1" s="6"/>
      <c r="AF1" s="6"/>
      <c r="AG1" s="6"/>
      <c r="AH1" s="6"/>
      <c r="AI1" s="6"/>
    </row>
    <row r="2" spans="1:35" ht="15.75" customHeight="1">
      <c r="A2" s="71" t="s">
        <v>53</v>
      </c>
      <c r="B2" s="6"/>
      <c r="C2" s="6" t="s">
        <v>59</v>
      </c>
      <c r="D2" s="6"/>
      <c r="F2" s="6"/>
      <c r="G2" s="6"/>
      <c r="H2" s="6"/>
      <c r="I2" s="6"/>
      <c r="J2" s="6"/>
      <c r="K2" s="60"/>
      <c r="L2" s="6"/>
      <c r="M2" s="6"/>
      <c r="N2" s="6"/>
      <c r="O2" s="6"/>
      <c r="P2" s="6"/>
      <c r="Q2" s="12"/>
      <c r="R2" s="12"/>
      <c r="S2" s="119"/>
      <c r="U2" s="19">
        <v>1</v>
      </c>
      <c r="V2" s="6"/>
      <c r="W2" s="120">
        <v>50</v>
      </c>
      <c r="Y2" s="6"/>
      <c r="Z2" s="388">
        <f>C_burette*0.000025</f>
        <v>2.5E-06</v>
      </c>
      <c r="AA2" s="388">
        <f>Z2-2*Z1</f>
        <v>-0.0013975000000000003</v>
      </c>
      <c r="AB2" s="388"/>
      <c r="AC2" s="388"/>
      <c r="AD2" s="6"/>
      <c r="AE2" s="6"/>
      <c r="AF2" s="6"/>
      <c r="AG2" s="6"/>
      <c r="AH2" s="6"/>
      <c r="AI2" s="6"/>
    </row>
    <row r="3" spans="1:35" ht="0.75" customHeight="1">
      <c r="A3" s="77">
        <f>2500-B3</f>
        <v>0</v>
      </c>
      <c r="B3" s="77">
        <v>2500</v>
      </c>
      <c r="C3" s="105">
        <f>A3</f>
        <v>0</v>
      </c>
      <c r="D3" s="26">
        <f>25-A3/100</f>
        <v>25</v>
      </c>
      <c r="E3" s="26">
        <f>25-A3/100</f>
        <v>25</v>
      </c>
      <c r="F3" s="13"/>
      <c r="G3" s="13"/>
      <c r="H3" s="126">
        <f>IF((N_init_réactif_2/coef_réact_2)&gt;=(N_init_réactif_1/coef_réact_1),0,V_becher+V_eau_cond1+V_burette)</f>
        <v>10</v>
      </c>
      <c r="I3" s="13"/>
      <c r="J3" s="28">
        <v>1</v>
      </c>
      <c r="K3" s="13">
        <v>150</v>
      </c>
      <c r="L3" s="13">
        <v>70</v>
      </c>
      <c r="M3" s="13"/>
      <c r="N3" s="13"/>
      <c r="O3" s="13"/>
      <c r="P3" s="14">
        <v>2</v>
      </c>
      <c r="Q3" s="13">
        <v>1</v>
      </c>
      <c r="R3" s="14">
        <f>IF(ISBLANK(T6),1,T6)</f>
        <v>2</v>
      </c>
      <c r="S3" s="13"/>
      <c r="T3" s="28">
        <v>2</v>
      </c>
      <c r="U3" s="13">
        <v>0</v>
      </c>
      <c r="V3" s="13"/>
      <c r="W3" s="28">
        <v>1</v>
      </c>
      <c r="X3" s="13">
        <f>IF((N_init_réactif_2/coef_réact_2)&lt;(N_init_réactif_1/coef_réact_1),0,V_becher+V_eau_cond1+V_burette)</f>
        <v>0</v>
      </c>
      <c r="Y3" s="6">
        <f>Z3*1.05</f>
        <v>0.0014700000000000002</v>
      </c>
      <c r="Z3" s="388">
        <f>MAX(Z1:AA1,AA2)</f>
        <v>0.0014000000000000002</v>
      </c>
      <c r="AA3" s="388"/>
      <c r="AB3" s="388"/>
      <c r="AC3" s="388"/>
      <c r="AD3" s="6"/>
      <c r="AE3" s="6"/>
      <c r="AF3" s="6"/>
      <c r="AG3" s="6"/>
      <c r="AH3" s="6"/>
      <c r="AI3" s="6"/>
    </row>
    <row r="4" spans="1:35" ht="1.5" customHeight="1">
      <c r="A4" s="77"/>
      <c r="B4" s="77"/>
      <c r="C4" s="21"/>
      <c r="D4" s="13"/>
      <c r="E4" s="13"/>
      <c r="F4" s="13"/>
      <c r="G4" s="13"/>
      <c r="H4" s="13"/>
      <c r="I4" s="13"/>
      <c r="J4" s="22"/>
      <c r="K4" s="13"/>
      <c r="L4" s="13"/>
      <c r="M4" s="13"/>
      <c r="N4" s="13"/>
      <c r="O4" s="13"/>
      <c r="P4" s="14"/>
      <c r="Q4" s="13"/>
      <c r="R4" s="13"/>
      <c r="S4" s="13"/>
      <c r="T4" s="13"/>
      <c r="U4" s="13"/>
      <c r="V4" s="13"/>
      <c r="W4" s="13"/>
      <c r="X4" s="13"/>
      <c r="Y4" s="6"/>
      <c r="Z4" s="388">
        <f>AA2</f>
        <v>-0.0013975000000000003</v>
      </c>
      <c r="AA4" s="388"/>
      <c r="AB4" s="388"/>
      <c r="AC4" s="388"/>
      <c r="AD4" s="6"/>
      <c r="AE4" s="6"/>
      <c r="AF4" s="6"/>
      <c r="AG4" s="6"/>
      <c r="AH4" s="6"/>
      <c r="AI4" s="6"/>
    </row>
    <row r="5" spans="1:35" ht="0.75" customHeight="1" thickBot="1">
      <c r="A5" s="108"/>
      <c r="B5" s="108"/>
      <c r="C5" s="50"/>
      <c r="D5" s="53"/>
      <c r="E5" s="53"/>
      <c r="F5" s="53"/>
      <c r="G5" s="109"/>
      <c r="H5" s="53"/>
      <c r="I5" s="52"/>
      <c r="J5" s="52"/>
      <c r="K5" s="112"/>
      <c r="L5" s="110"/>
      <c r="M5" s="53"/>
      <c r="N5" s="52"/>
      <c r="O5" s="113"/>
      <c r="P5" s="114"/>
      <c r="Q5" s="110"/>
      <c r="R5" s="52"/>
      <c r="S5" s="115"/>
      <c r="T5" s="53"/>
      <c r="U5" s="111"/>
      <c r="V5" s="114"/>
      <c r="W5" s="53"/>
      <c r="X5" s="111"/>
      <c r="Y5" s="6"/>
      <c r="Z5" s="388"/>
      <c r="AA5" s="388"/>
      <c r="AB5" s="388"/>
      <c r="AC5" s="388"/>
      <c r="AD5" s="6"/>
      <c r="AE5" s="6"/>
      <c r="AF5" s="6"/>
      <c r="AG5" s="6"/>
      <c r="AH5" s="6"/>
      <c r="AI5" s="6"/>
    </row>
    <row r="6" spans="1:35" ht="15" customHeight="1" thickBot="1">
      <c r="A6" s="283" t="s">
        <v>0</v>
      </c>
      <c r="B6" s="284"/>
      <c r="C6" s="284"/>
      <c r="D6" s="284"/>
      <c r="E6" s="285"/>
      <c r="F6" s="285"/>
      <c r="G6" s="285"/>
      <c r="H6" s="285"/>
      <c r="I6" s="285"/>
      <c r="J6" s="289">
        <f>IF(coef_réact_1=1,"",coef_réact_1)</f>
      </c>
      <c r="K6" s="286" t="s">
        <v>21</v>
      </c>
      <c r="L6" s="288" t="s">
        <v>6</v>
      </c>
      <c r="M6" s="288"/>
      <c r="N6" s="285"/>
      <c r="O6" s="285"/>
      <c r="P6" s="289">
        <f>IF(coef_réact_2=1,"",coef_réact_2)</f>
        <v>2</v>
      </c>
      <c r="Q6" s="286" t="s">
        <v>22</v>
      </c>
      <c r="R6" s="290"/>
      <c r="S6" s="291" t="s">
        <v>12</v>
      </c>
      <c r="T6" s="309">
        <f>IF(coef_prod1=1,"",coef_prod1)</f>
        <v>2</v>
      </c>
      <c r="U6" s="286" t="s">
        <v>24</v>
      </c>
      <c r="V6" s="408" t="s">
        <v>6</v>
      </c>
      <c r="W6" s="289">
        <f>IF(coef_prod2=1,"",coef_prod2)</f>
      </c>
      <c r="X6" s="310" t="s">
        <v>26</v>
      </c>
      <c r="Y6" s="59"/>
      <c r="Z6" s="388"/>
      <c r="AA6" s="388"/>
      <c r="AB6" s="411" t="str">
        <f>IF(K6="Fe2+ +8 H3O+","Fe2+",K6)</f>
        <v>I2(aq)</v>
      </c>
      <c r="AC6" s="411" t="str">
        <f>IF(X6="Mn2+ +12 H2O","Mn2+","S4O62-")</f>
        <v>S4O62-</v>
      </c>
      <c r="AD6" s="6"/>
      <c r="AE6" s="6"/>
      <c r="AF6" s="6"/>
      <c r="AG6" s="6"/>
      <c r="AH6" s="6"/>
      <c r="AI6" s="6"/>
    </row>
    <row r="7" spans="1:35" ht="11.25" customHeight="1">
      <c r="A7" s="82" t="s">
        <v>1</v>
      </c>
      <c r="B7" s="251" t="s">
        <v>20</v>
      </c>
      <c r="C7" s="252" t="s">
        <v>19</v>
      </c>
      <c r="D7" s="232"/>
      <c r="E7" s="160">
        <f>""</f>
      </c>
      <c r="F7" s="161"/>
      <c r="G7" s="161"/>
      <c r="H7" s="162"/>
      <c r="I7" s="163"/>
      <c r="J7" s="161" t="s">
        <v>27</v>
      </c>
      <c r="K7" s="164"/>
      <c r="L7" s="244" t="s">
        <v>35</v>
      </c>
      <c r="M7" s="211"/>
      <c r="N7" s="211"/>
      <c r="O7" s="211"/>
      <c r="P7" s="212"/>
      <c r="Q7" s="212"/>
      <c r="R7" s="183"/>
      <c r="S7" s="245" t="s">
        <v>29</v>
      </c>
      <c r="T7" s="57"/>
      <c r="U7" s="58"/>
      <c r="V7" s="187" t="s">
        <v>34</v>
      </c>
      <c r="W7" s="188"/>
      <c r="X7" s="189"/>
      <c r="Y7" s="6"/>
      <c r="Z7" s="13"/>
      <c r="AB7" s="6"/>
      <c r="AC7" s="6"/>
      <c r="AD7" s="6"/>
      <c r="AE7" s="6"/>
      <c r="AF7" s="6"/>
      <c r="AG7" s="6"/>
      <c r="AH7" s="6"/>
      <c r="AI7" s="6"/>
    </row>
    <row r="8" spans="1:35" ht="12" customHeight="1">
      <c r="A8" s="29" t="s">
        <v>2</v>
      </c>
      <c r="B8" s="253">
        <v>0</v>
      </c>
      <c r="C8" s="254">
        <v>0</v>
      </c>
      <c r="D8" s="233">
        <v>0</v>
      </c>
      <c r="E8" s="165"/>
      <c r="F8" s="166"/>
      <c r="G8" s="166"/>
      <c r="H8" s="167"/>
      <c r="I8" s="167"/>
      <c r="J8" s="168"/>
      <c r="K8" s="169">
        <f>K26*K29/1000</f>
        <v>0.0007000000000000001</v>
      </c>
      <c r="L8" s="213"/>
      <c r="M8" s="214"/>
      <c r="N8" s="214"/>
      <c r="O8" s="214"/>
      <c r="P8" s="215"/>
      <c r="Q8" s="216">
        <f>$K$16*A3/100000</f>
        <v>0</v>
      </c>
      <c r="R8" s="184"/>
      <c r="S8" s="43"/>
      <c r="T8" s="44"/>
      <c r="U8" s="45">
        <v>0</v>
      </c>
      <c r="V8" s="190"/>
      <c r="W8" s="191"/>
      <c r="X8" s="192">
        <v>0</v>
      </c>
      <c r="Y8" s="6"/>
      <c r="AB8" s="6"/>
      <c r="AC8" s="6"/>
      <c r="AD8" s="6"/>
      <c r="AE8" s="6"/>
      <c r="AF8" s="6"/>
      <c r="AG8" s="6"/>
      <c r="AH8" s="6"/>
      <c r="AI8" s="6"/>
    </row>
    <row r="9" spans="1:35" ht="0.75" customHeight="1">
      <c r="A9" s="30"/>
      <c r="B9" s="255">
        <f>IF(K10&gt;0,B10,(N_init_réactif_1*P3*1000/coef_réact_1)/C_burette)</f>
        <v>0</v>
      </c>
      <c r="C9" s="254" t="str">
        <f>C10</f>
        <v>Xm</v>
      </c>
      <c r="D9" s="234">
        <f>IF(K10&gt;0,D10,N_init_réactif_1/coef_réact_1)</f>
        <v>0</v>
      </c>
      <c r="E9" s="170">
        <f>E10</f>
        <v>0.0007000000000000001</v>
      </c>
      <c r="F9" s="171" t="str">
        <f>F10</f>
        <v>-</v>
      </c>
      <c r="G9" s="172">
        <f>G10</f>
      </c>
      <c r="H9" s="173" t="str">
        <f>H10</f>
        <v>Xm</v>
      </c>
      <c r="I9" s="168" t="str">
        <f>I10</f>
        <v>=</v>
      </c>
      <c r="J9" s="168"/>
      <c r="K9" s="174">
        <f>K10</f>
        <v>0.0007000000000000001</v>
      </c>
      <c r="L9" s="217"/>
      <c r="M9" s="218"/>
      <c r="N9" s="218"/>
      <c r="O9" s="218"/>
      <c r="P9" s="219">
        <v>0</v>
      </c>
      <c r="Q9" s="220">
        <v>0</v>
      </c>
      <c r="R9" s="184"/>
      <c r="S9" s="46"/>
      <c r="T9" s="47"/>
      <c r="U9" s="48">
        <f>U10</f>
        <v>0</v>
      </c>
      <c r="V9" s="193"/>
      <c r="W9" s="193"/>
      <c r="X9" s="194">
        <f>X10</f>
        <v>0</v>
      </c>
      <c r="Y9" s="6"/>
      <c r="AB9" s="6"/>
      <c r="AC9" s="6"/>
      <c r="AD9" s="6"/>
      <c r="AE9" s="6"/>
      <c r="AF9" s="6"/>
      <c r="AG9" s="6"/>
      <c r="AH9" s="6"/>
      <c r="AI9" s="6"/>
    </row>
    <row r="10" spans="1:35" ht="19.5" customHeight="1" thickBot="1">
      <c r="A10" s="380" t="s">
        <v>3</v>
      </c>
      <c r="B10" s="255">
        <f>V_burette</f>
        <v>0</v>
      </c>
      <c r="C10" s="403" t="str">
        <f>IF(K10&gt;0,"Xm","Xmax")</f>
        <v>Xm</v>
      </c>
      <c r="D10" s="235">
        <f>C3*K16/coef_réact_2/100000</f>
        <v>0</v>
      </c>
      <c r="E10" s="175">
        <f>K8</f>
        <v>0.0007000000000000001</v>
      </c>
      <c r="F10" s="176" t="s">
        <v>7</v>
      </c>
      <c r="G10" s="177">
        <f>IF(coef_réact_1=1,"",coef_réact_1)</f>
      </c>
      <c r="H10" s="404" t="str">
        <f>IF(K10&gt;0,"Xm","Xmax")</f>
        <v>Xm</v>
      </c>
      <c r="I10" s="179" t="s">
        <v>4</v>
      </c>
      <c r="J10" s="179"/>
      <c r="K10" s="180">
        <f>IF((N_init_réactif_1-(Avancement*coef_réact_1))&gt;0,N_init_réactif_1-Avancement*coef_réact_1,0)</f>
        <v>0.0007000000000000001</v>
      </c>
      <c r="L10" s="221">
        <f>N_init_réactif_2</f>
        <v>0</v>
      </c>
      <c r="M10" s="222" t="s">
        <v>7</v>
      </c>
      <c r="N10" s="89"/>
      <c r="O10" s="223" t="str">
        <f>IF(K10&gt;0,IF(coef_réact_2=1,"Xm =",coef_réact_2&amp;" Xm ="),IF(coef_réact_2=1,"Xmax=",coef_réact_2&amp;" Xmax="))</f>
        <v>2 Xm =</v>
      </c>
      <c r="P10" s="224"/>
      <c r="Q10" s="225">
        <f>IF(K10&gt;0,0,(N_init_réactif_2-(D11*coef_réact_2)))</f>
        <v>0</v>
      </c>
      <c r="R10" s="185"/>
      <c r="S10" s="4">
        <f>IF(coef_prod1=1,"",coef_prod1)</f>
        <v>2</v>
      </c>
      <c r="T10" s="405" t="str">
        <f>IF(K10&gt;0,"Xm =","Xmax=")</f>
        <v>Xm =</v>
      </c>
      <c r="U10" s="27">
        <f>IF(K10&gt;0,Avancement*coef_prod1,X_equiv*coef_prod1)</f>
        <v>0</v>
      </c>
      <c r="V10" s="195">
        <f>IF(coef_prod2=1,"",coef_prod2)</f>
      </c>
      <c r="W10" s="406" t="str">
        <f>IF(K10&gt;0,"Xm =","Xmax=")</f>
        <v>Xm =</v>
      </c>
      <c r="X10" s="196">
        <f>IF(K10&gt;0,Avancement*coef_prod2,X_equiv*coef_prod2)</f>
        <v>0</v>
      </c>
      <c r="Y10" s="90"/>
      <c r="AB10" s="6"/>
      <c r="AC10" s="6"/>
      <c r="AD10" s="6"/>
      <c r="AE10" s="6"/>
      <c r="AF10" s="6"/>
      <c r="AG10" s="6"/>
      <c r="AH10" s="6"/>
      <c r="AI10" s="6"/>
    </row>
    <row r="11" spans="1:35" ht="12" customHeight="1" thickBot="1">
      <c r="A11" s="419">
        <f>IF(K10&gt;0,"","Etat final Xmax=")</f>
      </c>
      <c r="B11" s="407">
        <f>IF(K10&gt;0,"",K8/J3)</f>
      </c>
      <c r="C11" s="197"/>
      <c r="D11" s="198">
        <f>IF(K10&gt;0,"",N_init_réactif_1/coef_réact_1)</f>
      </c>
      <c r="E11" s="199">
        <f>IF(K10&gt;0,"",N_init_réactif_1)</f>
      </c>
      <c r="F11" s="200">
        <f>IF(K10&gt;0,"","-")</f>
      </c>
      <c r="G11" s="201">
        <f>IF(OR(ISBLANK(coef_réact_1),coef_réact_1=1,K10&gt;0),"",coef_réact_1)</f>
      </c>
      <c r="H11" s="389">
        <f>IF(K10&gt;0,"","Xmax")</f>
      </c>
      <c r="I11" s="200">
        <f>IF(K10&gt;0,"","=")</f>
      </c>
      <c r="J11" s="200"/>
      <c r="K11" s="203">
        <f>IF(K10&gt;0,"",K10)</f>
      </c>
      <c r="L11" s="199">
        <f>IF(K10&gt;0,"",N_init_réactif_2)</f>
      </c>
      <c r="M11" s="200">
        <f>IF(K10&gt;0,"","-")</f>
      </c>
      <c r="N11" s="201">
        <f>IF(OR(ISBLANK(coef_réactif2),coef_réactif2=1,K10&gt;0),"",coef_réactif2)</f>
      </c>
      <c r="O11" s="204">
        <f>IF(K10&gt;0,"",IF(coef_réact_2=1,"Xmax",coef_réact_2&amp;" Xmax="))</f>
      </c>
      <c r="P11" s="200"/>
      <c r="Q11" s="205">
        <f>IF(K10&gt;0,"",Q10)</f>
      </c>
      <c r="R11" s="206"/>
      <c r="S11" s="207">
        <f>IF(OR(ISBLANK(coef_prod1),coef_prod1=1,K10&gt;0),"",coef_prod1)</f>
      </c>
      <c r="T11" s="397">
        <f>IF(K10&gt;0,"","Xmax=")</f>
      </c>
      <c r="U11" s="208">
        <f>IF(K10&gt;0,"",U10)</f>
      </c>
      <c r="V11" s="209">
        <f>IF(OR(ISBLANK(coef_prod2),coef_prod2=1,K10&gt;0),"",coef_prod2)</f>
      </c>
      <c r="W11" s="389">
        <f>IF(K10&gt;0,"","Xmax=")</f>
      </c>
      <c r="X11" s="210">
        <f>IF(K10&gt;0,"",X10)</f>
      </c>
      <c r="Y11" s="6"/>
      <c r="AB11" s="6"/>
      <c r="AC11" s="6"/>
      <c r="AD11" s="6"/>
      <c r="AE11" s="6"/>
      <c r="AF11" s="6"/>
      <c r="AG11" s="6"/>
      <c r="AH11" s="6"/>
      <c r="AI11" s="6"/>
    </row>
    <row r="12" spans="1:35" ht="12.75">
      <c r="A12" s="26"/>
      <c r="B12" s="26"/>
      <c r="C12" s="6"/>
      <c r="D12" s="6"/>
      <c r="E12" s="6"/>
      <c r="F12" s="6"/>
      <c r="G12" s="6"/>
      <c r="H12" s="6"/>
      <c r="I12" s="6"/>
      <c r="J12" s="6"/>
      <c r="K12" s="121">
        <f>IF(K10&gt;0,"","Vequival = ")</f>
      </c>
      <c r="L12" s="122">
        <f>IF(K10&gt;0,"",B9)</f>
      </c>
      <c r="M12" s="124">
        <f>IF(K10&gt;0,""," ,")</f>
      </c>
      <c r="N12" s="125">
        <f>IF(K10&gt;0,""," ,")</f>
      </c>
      <c r="O12" s="123">
        <f>IF(K10&gt;0,"","mL")</f>
      </c>
      <c r="P12" s="6"/>
      <c r="Q12" s="6"/>
      <c r="R12" s="6"/>
      <c r="S12" s="6"/>
      <c r="T12" s="6"/>
      <c r="U12" s="6"/>
      <c r="V12" s="6"/>
      <c r="W12" s="6"/>
      <c r="X12" s="6"/>
      <c r="Y12" s="6"/>
      <c r="AB12" s="6"/>
      <c r="AC12" s="6"/>
      <c r="AD12" s="6"/>
      <c r="AE12" s="6"/>
      <c r="AF12" s="6"/>
      <c r="AG12" s="6"/>
      <c r="AH12" s="6"/>
      <c r="AI12" s="6"/>
    </row>
    <row r="13" spans="1:35" ht="12.7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AB13" s="6"/>
      <c r="AC13" s="6"/>
      <c r="AD13" s="6"/>
      <c r="AE13" s="6"/>
      <c r="AF13" s="6"/>
      <c r="AG13" s="6"/>
      <c r="AH13" s="6"/>
      <c r="AI13" s="6"/>
    </row>
    <row r="14" spans="1:35" ht="12.7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AB14" s="6"/>
      <c r="AC14" s="6"/>
      <c r="AD14" s="6"/>
      <c r="AE14" s="6"/>
      <c r="AF14" s="6"/>
      <c r="AG14" s="6"/>
      <c r="AH14" s="6"/>
      <c r="AI14" s="6"/>
    </row>
    <row r="15" spans="1:35" ht="12.75">
      <c r="A15" s="6"/>
      <c r="B15" s="6"/>
      <c r="C15" s="6"/>
      <c r="D15" s="6"/>
      <c r="E15" s="6"/>
      <c r="F15" s="6"/>
      <c r="G15" s="6"/>
      <c r="H15" s="6"/>
      <c r="I15" s="6"/>
      <c r="J15" s="42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AB15" s="6"/>
      <c r="AC15" s="6"/>
      <c r="AD15" s="6"/>
      <c r="AE15" s="6"/>
      <c r="AF15" s="6"/>
      <c r="AG15" s="6"/>
      <c r="AH15" s="6"/>
      <c r="AI15" s="6"/>
    </row>
    <row r="16" spans="1:35" ht="12.75">
      <c r="A16" s="6"/>
      <c r="B16" s="6"/>
      <c r="C16" s="6"/>
      <c r="D16" s="6"/>
      <c r="E16" s="6"/>
      <c r="F16" s="6"/>
      <c r="G16" s="6"/>
      <c r="H16" s="6"/>
      <c r="I16" s="6"/>
      <c r="J16" s="6"/>
      <c r="K16" s="247">
        <f>K17/1000</f>
        <v>0.1</v>
      </c>
      <c r="L16" s="76" t="s">
        <v>44</v>
      </c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AB16" s="6"/>
      <c r="AC16" s="6"/>
      <c r="AD16" s="6"/>
      <c r="AE16" s="6"/>
      <c r="AF16" s="6"/>
      <c r="AG16" s="6"/>
      <c r="AH16" s="6"/>
      <c r="AI16" s="6"/>
    </row>
    <row r="17" spans="1:35" ht="12.75">
      <c r="A17" s="6"/>
      <c r="B17" s="6"/>
      <c r="C17" s="6"/>
      <c r="D17" s="6"/>
      <c r="E17" s="6"/>
      <c r="F17" s="6"/>
      <c r="G17" s="6"/>
      <c r="H17" s="6"/>
      <c r="I17" s="6"/>
      <c r="J17" s="6"/>
      <c r="K17" s="226">
        <v>100</v>
      </c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AB17" s="6"/>
      <c r="AC17" s="6"/>
      <c r="AD17" s="6"/>
      <c r="AE17" s="6"/>
      <c r="AF17" s="6"/>
      <c r="AG17" s="6"/>
      <c r="AH17" s="6"/>
      <c r="AI17" s="6"/>
    </row>
    <row r="18" spans="1:35" ht="15.75">
      <c r="A18" s="6"/>
      <c r="B18" s="6"/>
      <c r="C18" s="6"/>
      <c r="D18" s="6"/>
      <c r="E18" s="6"/>
      <c r="F18" s="6"/>
      <c r="H18" s="6"/>
      <c r="I18" s="6"/>
      <c r="J18" s="6"/>
      <c r="K18" s="248" t="s">
        <v>57</v>
      </c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AB18" s="6"/>
      <c r="AC18" s="6"/>
      <c r="AD18" s="6"/>
      <c r="AE18" s="6"/>
      <c r="AF18" s="6"/>
      <c r="AG18" s="6"/>
      <c r="AH18" s="6"/>
      <c r="AI18" s="6"/>
    </row>
    <row r="19" spans="1:35" ht="15.75">
      <c r="A19" s="6"/>
      <c r="B19" s="6"/>
      <c r="C19" s="6"/>
      <c r="D19" s="6"/>
      <c r="E19" s="6"/>
      <c r="F19" s="6"/>
      <c r="G19" s="6"/>
      <c r="H19" s="73"/>
      <c r="I19" s="6"/>
      <c r="J19" s="25"/>
      <c r="K19" s="246" t="s">
        <v>56</v>
      </c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AB19" s="6"/>
      <c r="AC19" s="6"/>
      <c r="AD19" s="6"/>
      <c r="AE19" s="6"/>
      <c r="AF19" s="6"/>
      <c r="AG19" s="6"/>
      <c r="AH19" s="6"/>
      <c r="AI19" s="6"/>
    </row>
    <row r="20" spans="1:35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227" t="s">
        <v>9</v>
      </c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AB20" s="6"/>
      <c r="AC20" s="6"/>
      <c r="AD20" s="6"/>
      <c r="AE20" s="6"/>
      <c r="AF20" s="6"/>
      <c r="AG20" s="6"/>
      <c r="AH20" s="6"/>
      <c r="AI20" s="6"/>
    </row>
    <row r="21" spans="1:35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228">
        <f>A3/100</f>
        <v>0</v>
      </c>
      <c r="L21" s="76" t="s">
        <v>10</v>
      </c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AB21" s="6"/>
      <c r="AC21" s="6"/>
      <c r="AD21" s="6"/>
      <c r="AE21" s="6"/>
      <c r="AF21" s="6"/>
      <c r="AG21" s="6"/>
      <c r="AH21" s="6"/>
      <c r="AI21" s="6"/>
    </row>
    <row r="22" spans="1:35" ht="12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AB22" s="6"/>
      <c r="AC22" s="6"/>
      <c r="AD22" s="6"/>
      <c r="AE22" s="6"/>
      <c r="AF22" s="6"/>
      <c r="AG22" s="6"/>
      <c r="AH22" s="6"/>
      <c r="AI22" s="6"/>
    </row>
    <row r="23" spans="1:35" ht="12.75">
      <c r="A23" s="6"/>
      <c r="B23" s="6"/>
      <c r="C23" s="6"/>
      <c r="D23" s="6"/>
      <c r="E23" s="6"/>
      <c r="F23" s="6"/>
      <c r="G23" s="6"/>
      <c r="H23" s="60"/>
      <c r="I23" s="60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AB23" s="6"/>
      <c r="AC23" s="6"/>
      <c r="AD23" s="6"/>
      <c r="AE23" s="6"/>
      <c r="AF23" s="6"/>
      <c r="AG23" s="6"/>
      <c r="AH23" s="6"/>
      <c r="AI23" s="6"/>
    </row>
    <row r="24" spans="1:35" ht="12.75">
      <c r="A24" s="6"/>
      <c r="B24" s="6"/>
      <c r="C24" s="6"/>
      <c r="D24" s="6"/>
      <c r="E24" s="6"/>
      <c r="F24" s="6"/>
      <c r="G24" s="6"/>
      <c r="H24" s="60"/>
      <c r="I24" s="71"/>
      <c r="K24" s="7" t="s">
        <v>15</v>
      </c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AB24" s="6"/>
      <c r="AC24" s="6"/>
      <c r="AD24" s="6"/>
      <c r="AE24" s="6"/>
      <c r="AF24" s="6"/>
      <c r="AG24" s="6"/>
      <c r="AH24" s="6"/>
      <c r="AI24" s="6"/>
    </row>
    <row r="25" spans="1:35" ht="12.75">
      <c r="A25" s="6"/>
      <c r="B25" s="6"/>
      <c r="C25" s="6"/>
      <c r="D25" s="6"/>
      <c r="E25" s="6"/>
      <c r="F25" s="6"/>
      <c r="G25" s="6"/>
      <c r="H25" s="60"/>
      <c r="I25" s="71"/>
      <c r="J25" s="68" t="s">
        <v>16</v>
      </c>
      <c r="K25" s="84" t="s">
        <v>17</v>
      </c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AB25" s="6"/>
      <c r="AC25" s="6"/>
      <c r="AD25" s="6"/>
      <c r="AE25" s="6"/>
      <c r="AF25" s="6"/>
      <c r="AG25" s="6"/>
      <c r="AH25" s="6"/>
      <c r="AI25" s="6"/>
    </row>
    <row r="26" spans="1:35" ht="12.75">
      <c r="A26" s="6"/>
      <c r="B26" s="6"/>
      <c r="C26" s="6"/>
      <c r="D26" s="6"/>
      <c r="E26" s="6"/>
      <c r="F26" s="6"/>
      <c r="G26" s="6"/>
      <c r="H26" s="60"/>
      <c r="I26" s="60"/>
      <c r="J26" s="6"/>
      <c r="K26" s="250">
        <f>L3/1000</f>
        <v>0.07</v>
      </c>
      <c r="L26" s="76" t="s">
        <v>44</v>
      </c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AB26" s="6"/>
      <c r="AC26" s="6"/>
      <c r="AD26" s="6"/>
      <c r="AE26" s="6"/>
      <c r="AF26" s="6"/>
      <c r="AG26" s="6"/>
      <c r="AH26" s="6"/>
      <c r="AI26" s="6"/>
    </row>
    <row r="27" spans="1:35" ht="15.75">
      <c r="A27" s="6"/>
      <c r="B27" s="6"/>
      <c r="C27" s="6"/>
      <c r="D27" s="6"/>
      <c r="E27" s="6"/>
      <c r="F27" s="6"/>
      <c r="G27" s="6"/>
      <c r="H27" s="60"/>
      <c r="I27" s="60"/>
      <c r="J27" s="6"/>
      <c r="K27" s="181" t="s">
        <v>21</v>
      </c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AB27" s="6"/>
      <c r="AC27" s="6"/>
      <c r="AD27" s="6"/>
      <c r="AE27" s="6"/>
      <c r="AF27" s="6"/>
      <c r="AG27" s="6"/>
      <c r="AH27" s="6"/>
      <c r="AI27" s="6"/>
    </row>
    <row r="28" spans="1:35" ht="12.75">
      <c r="A28" s="6"/>
      <c r="B28" s="6"/>
      <c r="C28" s="6"/>
      <c r="D28" s="6"/>
      <c r="E28" s="6"/>
      <c r="F28" s="6"/>
      <c r="G28" s="6"/>
      <c r="H28" s="60"/>
      <c r="I28" s="60"/>
      <c r="J28" s="70"/>
      <c r="K28" s="182">
        <f>IF(K6="Fe2+ +8 H3O+","    + SO4(2-)","")</f>
      </c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AB28" s="6"/>
      <c r="AC28" s="6"/>
      <c r="AD28" s="6"/>
      <c r="AE28" s="6"/>
      <c r="AF28" s="6"/>
      <c r="AG28" s="6"/>
      <c r="AH28" s="6"/>
      <c r="AI28" s="6"/>
    </row>
    <row r="29" spans="1:35" ht="15.75">
      <c r="A29" s="6"/>
      <c r="B29" s="6"/>
      <c r="C29" s="6"/>
      <c r="D29" s="6"/>
      <c r="E29" s="6"/>
      <c r="F29" s="6"/>
      <c r="G29" s="6"/>
      <c r="H29" s="60"/>
      <c r="I29" s="60"/>
      <c r="J29" s="6"/>
      <c r="K29" s="249">
        <v>10</v>
      </c>
      <c r="L29" s="74" t="s">
        <v>10</v>
      </c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AB29" s="6"/>
      <c r="AC29" s="6"/>
      <c r="AD29" s="6"/>
      <c r="AE29" s="6"/>
      <c r="AF29" s="6"/>
      <c r="AG29" s="6"/>
      <c r="AH29" s="6"/>
      <c r="AI29" s="6"/>
    </row>
    <row r="30" spans="1:35" ht="13.5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70"/>
      <c r="L30" s="70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AB30" s="6"/>
      <c r="AC30" s="6"/>
      <c r="AD30" s="6"/>
      <c r="AE30" s="6"/>
      <c r="AF30" s="6"/>
      <c r="AG30" s="6"/>
      <c r="AH30" s="6"/>
      <c r="AI30" s="6"/>
    </row>
    <row r="31" spans="1:35" ht="15.75" customHeight="1">
      <c r="A31" s="162"/>
      <c r="B31" s="162"/>
      <c r="C31" s="162"/>
      <c r="D31" s="420"/>
      <c r="E31" s="420"/>
      <c r="F31" s="162"/>
      <c r="G31" s="162"/>
      <c r="H31" s="162"/>
      <c r="I31" s="162"/>
      <c r="J31" s="162"/>
      <c r="K31" s="186"/>
      <c r="L31" s="74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AB31" s="6"/>
      <c r="AC31" s="6"/>
      <c r="AD31" s="6"/>
      <c r="AE31" s="6"/>
      <c r="AF31" s="6"/>
      <c r="AG31" s="6"/>
      <c r="AH31" s="6"/>
      <c r="AI31" s="6"/>
    </row>
    <row r="32" spans="1:35" s="61" customFormat="1" ht="21.75" customHeight="1">
      <c r="A32" s="60"/>
      <c r="B32" s="60"/>
      <c r="C32" s="60"/>
      <c r="D32" s="60"/>
      <c r="E32" s="60"/>
      <c r="F32" s="60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</row>
    <row r="33" spans="1:35" ht="18.7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AB33" s="6"/>
      <c r="AC33" s="6"/>
      <c r="AD33" s="6"/>
      <c r="AE33" s="6"/>
      <c r="AF33" s="6"/>
      <c r="AG33" s="6"/>
      <c r="AH33" s="6"/>
      <c r="AI33" s="6"/>
    </row>
    <row r="34" spans="1:35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AB34" s="6"/>
      <c r="AC34" s="6"/>
      <c r="AD34" s="6"/>
      <c r="AE34" s="6"/>
      <c r="AF34" s="6"/>
      <c r="AG34" s="6"/>
      <c r="AH34" s="6"/>
      <c r="AI34" s="6"/>
    </row>
    <row r="35" spans="1:35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AB35" s="6"/>
      <c r="AC35" s="6"/>
      <c r="AD35" s="6"/>
      <c r="AE35" s="6"/>
      <c r="AF35" s="6"/>
      <c r="AG35" s="6"/>
      <c r="AH35" s="6"/>
      <c r="AI35" s="6"/>
    </row>
    <row r="36" spans="1:35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AB36" s="6"/>
      <c r="AC36" s="6"/>
      <c r="AD36" s="6"/>
      <c r="AE36" s="6"/>
      <c r="AF36" s="6"/>
      <c r="AG36" s="6"/>
      <c r="AH36" s="6"/>
      <c r="AI36" s="6"/>
    </row>
    <row r="37" spans="1:35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AB37" s="6"/>
      <c r="AC37" s="6"/>
      <c r="AD37" s="6"/>
      <c r="AE37" s="6"/>
      <c r="AF37" s="6"/>
      <c r="AG37" s="6"/>
      <c r="AH37" s="6"/>
      <c r="AI37" s="6"/>
    </row>
    <row r="38" spans="1:35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AB38" s="6"/>
      <c r="AC38" s="6"/>
      <c r="AD38" s="6"/>
      <c r="AE38" s="6"/>
      <c r="AF38" s="6"/>
      <c r="AG38" s="6"/>
      <c r="AH38" s="6"/>
      <c r="AI38" s="6"/>
    </row>
    <row r="39" spans="1:35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AB39" s="6"/>
      <c r="AC39" s="6"/>
      <c r="AD39" s="6"/>
      <c r="AE39" s="6"/>
      <c r="AF39" s="6"/>
      <c r="AG39" s="6"/>
      <c r="AH39" s="6"/>
      <c r="AI39" s="6"/>
    </row>
    <row r="40" spans="1:35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AB40" s="6"/>
      <c r="AC40" s="6"/>
      <c r="AD40" s="6"/>
      <c r="AE40" s="6"/>
      <c r="AF40" s="6"/>
      <c r="AG40" s="6"/>
      <c r="AH40" s="6"/>
      <c r="AI40" s="6"/>
    </row>
    <row r="41" spans="1:35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AB41" s="6"/>
      <c r="AC41" s="6"/>
      <c r="AD41" s="6"/>
      <c r="AE41" s="6"/>
      <c r="AF41" s="6"/>
      <c r="AG41" s="6"/>
      <c r="AH41" s="6"/>
      <c r="AI41" s="6"/>
    </row>
    <row r="42" spans="1:35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AB42" s="6"/>
      <c r="AC42" s="6"/>
      <c r="AD42" s="6"/>
      <c r="AE42" s="6"/>
      <c r="AF42" s="6"/>
      <c r="AG42" s="6"/>
      <c r="AH42" s="6"/>
      <c r="AI42" s="6"/>
    </row>
    <row r="43" spans="1:35" ht="12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AB43" s="6"/>
      <c r="AC43" s="6"/>
      <c r="AD43" s="6"/>
      <c r="AE43" s="6"/>
      <c r="AF43" s="6"/>
      <c r="AG43" s="6"/>
      <c r="AH43" s="6"/>
      <c r="AI43" s="6"/>
    </row>
    <row r="44" spans="1:35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AB44" s="6"/>
      <c r="AC44" s="6"/>
      <c r="AD44" s="6"/>
      <c r="AE44" s="6"/>
      <c r="AF44" s="6"/>
      <c r="AG44" s="6"/>
      <c r="AH44" s="6"/>
      <c r="AI44" s="6"/>
    </row>
    <row r="45" spans="1:35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AB45" s="6"/>
      <c r="AC45" s="6"/>
      <c r="AD45" s="6"/>
      <c r="AE45" s="6"/>
      <c r="AF45" s="6"/>
      <c r="AG45" s="6"/>
      <c r="AH45" s="6"/>
      <c r="AI45" s="6"/>
    </row>
    <row r="46" spans="1:35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AB46" s="6"/>
      <c r="AC46" s="6"/>
      <c r="AD46" s="6"/>
      <c r="AE46" s="6"/>
      <c r="AF46" s="6"/>
      <c r="AG46" s="6"/>
      <c r="AH46" s="6"/>
      <c r="AI46" s="6"/>
    </row>
    <row r="47" spans="1:35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AB47" s="6"/>
      <c r="AC47" s="6"/>
      <c r="AD47" s="6"/>
      <c r="AE47" s="6"/>
      <c r="AF47" s="6"/>
      <c r="AG47" s="6"/>
      <c r="AH47" s="6"/>
      <c r="AI47" s="6"/>
    </row>
    <row r="48" spans="1:35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AB48" s="6"/>
      <c r="AC48" s="6"/>
      <c r="AD48" s="6"/>
      <c r="AE48" s="6"/>
      <c r="AF48" s="6"/>
      <c r="AG48" s="6"/>
      <c r="AH48" s="6"/>
      <c r="AI48" s="6"/>
    </row>
    <row r="49" spans="1:35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AB49" s="6"/>
      <c r="AC49" s="6"/>
      <c r="AD49" s="6"/>
      <c r="AE49" s="6"/>
      <c r="AF49" s="6"/>
      <c r="AG49" s="6"/>
      <c r="AH49" s="6"/>
      <c r="AI49" s="6"/>
    </row>
    <row r="50" spans="1:35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AB50" s="6"/>
      <c r="AC50" s="6"/>
      <c r="AD50" s="6"/>
      <c r="AE50" s="6"/>
      <c r="AF50" s="6"/>
      <c r="AG50" s="6"/>
      <c r="AH50" s="6"/>
      <c r="AI50" s="6"/>
    </row>
    <row r="51" spans="1:35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AB51" s="6"/>
      <c r="AC51" s="6"/>
      <c r="AD51" s="6"/>
      <c r="AE51" s="6"/>
      <c r="AF51" s="6"/>
      <c r="AG51" s="6"/>
      <c r="AH51" s="6"/>
      <c r="AI51" s="6"/>
    </row>
    <row r="52" spans="28:35" ht="12.75">
      <c r="AB52" s="6"/>
      <c r="AC52" s="6"/>
      <c r="AD52" s="6"/>
      <c r="AE52" s="6"/>
      <c r="AF52" s="6"/>
      <c r="AG52" s="6"/>
      <c r="AH52" s="6"/>
      <c r="AI52" s="6"/>
    </row>
    <row r="53" spans="28:35" ht="12.75">
      <c r="AB53" s="6"/>
      <c r="AC53" s="6"/>
      <c r="AD53" s="6"/>
      <c r="AE53" s="6"/>
      <c r="AF53" s="6"/>
      <c r="AG53" s="6"/>
      <c r="AH53" s="6"/>
      <c r="AI53" s="6"/>
    </row>
    <row r="54" spans="28:35" ht="12.75">
      <c r="AB54" s="6"/>
      <c r="AC54" s="6"/>
      <c r="AD54" s="6"/>
      <c r="AE54" s="6"/>
      <c r="AF54" s="6"/>
      <c r="AG54" s="6"/>
      <c r="AH54" s="6"/>
      <c r="AI54" s="6"/>
    </row>
    <row r="55" spans="28:35" ht="12.75">
      <c r="AB55" s="6"/>
      <c r="AC55" s="6"/>
      <c r="AD55" s="6"/>
      <c r="AE55" s="6"/>
      <c r="AF55" s="6"/>
      <c r="AG55" s="6"/>
      <c r="AH55" s="6"/>
      <c r="AI55" s="6"/>
    </row>
    <row r="56" spans="28:35" ht="12.75">
      <c r="AB56" s="6"/>
      <c r="AC56" s="6"/>
      <c r="AD56" s="6"/>
      <c r="AE56" s="6"/>
      <c r="AF56" s="6"/>
      <c r="AG56" s="6"/>
      <c r="AH56" s="6"/>
      <c r="AI56" s="6"/>
    </row>
    <row r="57" spans="28:35" ht="12.75">
      <c r="AB57" s="6"/>
      <c r="AC57" s="6"/>
      <c r="AD57" s="6"/>
      <c r="AE57" s="6"/>
      <c r="AF57" s="6"/>
      <c r="AG57" s="6"/>
      <c r="AH57" s="6"/>
      <c r="AI57" s="6"/>
    </row>
    <row r="58" spans="28:35" ht="12.75">
      <c r="AB58" s="6"/>
      <c r="AC58" s="6"/>
      <c r="AD58" s="6"/>
      <c r="AE58" s="6"/>
      <c r="AF58" s="6"/>
      <c r="AG58" s="6"/>
      <c r="AH58" s="6"/>
      <c r="AI58" s="6"/>
    </row>
    <row r="59" spans="28:35" ht="12.75">
      <c r="AB59" s="6"/>
      <c r="AC59" s="6"/>
      <c r="AD59" s="6"/>
      <c r="AE59" s="6"/>
      <c r="AF59" s="6"/>
      <c r="AG59" s="6"/>
      <c r="AH59" s="6"/>
      <c r="AI59" s="6"/>
    </row>
    <row r="60" spans="1:253" ht="12.75">
      <c r="A60" t="s">
        <v>13</v>
      </c>
      <c r="C60">
        <v>0</v>
      </c>
      <c r="D60">
        <v>0.1</v>
      </c>
      <c r="E60">
        <v>0.2</v>
      </c>
      <c r="F60">
        <v>0.3</v>
      </c>
      <c r="G60">
        <v>0.4</v>
      </c>
      <c r="H60">
        <v>0.5</v>
      </c>
      <c r="I60">
        <v>0.6</v>
      </c>
      <c r="J60">
        <v>0.7</v>
      </c>
      <c r="K60">
        <v>0.8</v>
      </c>
      <c r="L60">
        <v>0.9</v>
      </c>
      <c r="M60">
        <v>1</v>
      </c>
      <c r="N60">
        <v>1.1</v>
      </c>
      <c r="O60">
        <v>1.2</v>
      </c>
      <c r="P60">
        <v>1.3</v>
      </c>
      <c r="Q60">
        <v>1.4</v>
      </c>
      <c r="R60">
        <v>1.5</v>
      </c>
      <c r="S60">
        <v>1.6</v>
      </c>
      <c r="T60">
        <v>1.7</v>
      </c>
      <c r="U60">
        <v>1.8</v>
      </c>
      <c r="V60">
        <v>1.9</v>
      </c>
      <c r="W60">
        <v>2</v>
      </c>
      <c r="X60">
        <v>2.1</v>
      </c>
      <c r="Y60">
        <v>2.2</v>
      </c>
      <c r="Z60">
        <v>2.3</v>
      </c>
      <c r="AA60">
        <v>2.4</v>
      </c>
      <c r="AB60">
        <v>2.5</v>
      </c>
      <c r="AC60">
        <v>2.6</v>
      </c>
      <c r="AD60">
        <v>2.7</v>
      </c>
      <c r="AE60">
        <v>2.8</v>
      </c>
      <c r="AF60">
        <v>2.9</v>
      </c>
      <c r="AG60">
        <v>3</v>
      </c>
      <c r="AH60">
        <v>3.1</v>
      </c>
      <c r="AI60">
        <v>3.2</v>
      </c>
      <c r="AJ60">
        <v>3.3</v>
      </c>
      <c r="AK60">
        <v>3.4</v>
      </c>
      <c r="AL60">
        <v>3.5</v>
      </c>
      <c r="AM60">
        <v>3.6</v>
      </c>
      <c r="AN60">
        <v>3.7</v>
      </c>
      <c r="AO60">
        <v>3.8</v>
      </c>
      <c r="AP60">
        <v>3.9</v>
      </c>
      <c r="AQ60">
        <v>4</v>
      </c>
      <c r="AR60">
        <v>4.1</v>
      </c>
      <c r="AS60">
        <v>4.2</v>
      </c>
      <c r="AT60">
        <v>4.3</v>
      </c>
      <c r="AU60">
        <v>4.4</v>
      </c>
      <c r="AV60">
        <v>4.5</v>
      </c>
      <c r="AW60">
        <v>4.6</v>
      </c>
      <c r="AX60">
        <v>4.7</v>
      </c>
      <c r="AY60">
        <v>4.8</v>
      </c>
      <c r="AZ60">
        <v>4.9</v>
      </c>
      <c r="BA60">
        <v>5</v>
      </c>
      <c r="BB60">
        <v>5.1</v>
      </c>
      <c r="BC60">
        <v>5.2</v>
      </c>
      <c r="BD60">
        <v>5.3</v>
      </c>
      <c r="BE60">
        <v>5.4</v>
      </c>
      <c r="BF60">
        <v>5.5</v>
      </c>
      <c r="BG60">
        <v>5.6</v>
      </c>
      <c r="BH60">
        <v>5.7</v>
      </c>
      <c r="BI60">
        <v>5.8</v>
      </c>
      <c r="BJ60">
        <v>5.9</v>
      </c>
      <c r="BK60">
        <v>6</v>
      </c>
      <c r="BL60">
        <v>6.1</v>
      </c>
      <c r="BM60">
        <v>6.2</v>
      </c>
      <c r="BN60">
        <v>6.3</v>
      </c>
      <c r="BO60">
        <v>6.4</v>
      </c>
      <c r="BP60">
        <v>6.5</v>
      </c>
      <c r="BQ60">
        <v>6.6</v>
      </c>
      <c r="BR60">
        <v>6.7</v>
      </c>
      <c r="BS60">
        <v>6.8</v>
      </c>
      <c r="BT60">
        <v>6.9</v>
      </c>
      <c r="BU60">
        <v>7</v>
      </c>
      <c r="BV60">
        <v>7.1</v>
      </c>
      <c r="BW60">
        <v>7.2</v>
      </c>
      <c r="BX60">
        <v>7.3</v>
      </c>
      <c r="BY60">
        <v>7.4</v>
      </c>
      <c r="BZ60">
        <v>7.5</v>
      </c>
      <c r="CA60">
        <v>7.6</v>
      </c>
      <c r="CB60">
        <v>7.7</v>
      </c>
      <c r="CC60">
        <v>7.8</v>
      </c>
      <c r="CD60">
        <v>7.9</v>
      </c>
      <c r="CE60">
        <v>8</v>
      </c>
      <c r="CF60">
        <v>8.1</v>
      </c>
      <c r="CG60">
        <v>8.2</v>
      </c>
      <c r="CH60">
        <v>8.3</v>
      </c>
      <c r="CI60">
        <v>8.4</v>
      </c>
      <c r="CJ60">
        <v>8.5</v>
      </c>
      <c r="CK60">
        <v>8.6</v>
      </c>
      <c r="CL60">
        <v>8.7</v>
      </c>
      <c r="CM60">
        <v>8.8</v>
      </c>
      <c r="CN60">
        <v>8.9</v>
      </c>
      <c r="CO60">
        <v>9</v>
      </c>
      <c r="CP60">
        <v>9.1</v>
      </c>
      <c r="CQ60">
        <v>9.2</v>
      </c>
      <c r="CR60">
        <v>9.3</v>
      </c>
      <c r="CS60">
        <v>9.4</v>
      </c>
      <c r="CT60">
        <v>9.5</v>
      </c>
      <c r="CU60">
        <v>9.6</v>
      </c>
      <c r="CV60">
        <v>9.7</v>
      </c>
      <c r="CW60">
        <v>9.8</v>
      </c>
      <c r="CX60">
        <v>9.9</v>
      </c>
      <c r="CY60">
        <v>10</v>
      </c>
      <c r="CZ60">
        <v>10.1</v>
      </c>
      <c r="DA60">
        <v>10.2</v>
      </c>
      <c r="DB60">
        <v>10.3</v>
      </c>
      <c r="DC60">
        <v>10.4</v>
      </c>
      <c r="DD60">
        <v>10.5</v>
      </c>
      <c r="DE60">
        <v>10.6</v>
      </c>
      <c r="DF60">
        <v>10.7</v>
      </c>
      <c r="DG60">
        <v>10.8</v>
      </c>
      <c r="DH60">
        <v>10.9</v>
      </c>
      <c r="DI60">
        <v>11</v>
      </c>
      <c r="DJ60">
        <v>11.1</v>
      </c>
      <c r="DK60">
        <v>11.2</v>
      </c>
      <c r="DL60">
        <v>11.3</v>
      </c>
      <c r="DM60">
        <v>11.4</v>
      </c>
      <c r="DN60">
        <v>11.5</v>
      </c>
      <c r="DO60">
        <v>11.6</v>
      </c>
      <c r="DP60">
        <v>11.7</v>
      </c>
      <c r="DQ60">
        <v>11.8</v>
      </c>
      <c r="DR60">
        <v>11.9</v>
      </c>
      <c r="DS60">
        <v>12</v>
      </c>
      <c r="DT60">
        <v>12.1</v>
      </c>
      <c r="DU60">
        <v>12.2</v>
      </c>
      <c r="DV60">
        <v>12.3</v>
      </c>
      <c r="DW60">
        <v>12.4</v>
      </c>
      <c r="DX60">
        <v>12.5</v>
      </c>
      <c r="DY60">
        <v>12.6</v>
      </c>
      <c r="DZ60">
        <v>12.7</v>
      </c>
      <c r="EA60">
        <v>12.8</v>
      </c>
      <c r="EB60">
        <v>12.9</v>
      </c>
      <c r="EC60">
        <v>13</v>
      </c>
      <c r="ED60">
        <v>13.1</v>
      </c>
      <c r="EE60">
        <v>13.2</v>
      </c>
      <c r="EF60">
        <v>13.3</v>
      </c>
      <c r="EG60">
        <v>13.4</v>
      </c>
      <c r="EH60">
        <v>13.5</v>
      </c>
      <c r="EI60">
        <v>13.6</v>
      </c>
      <c r="EJ60">
        <v>13.7</v>
      </c>
      <c r="EK60">
        <v>13.8</v>
      </c>
      <c r="EL60">
        <v>13.9</v>
      </c>
      <c r="EM60">
        <v>14</v>
      </c>
      <c r="EN60">
        <v>14.1</v>
      </c>
      <c r="EO60">
        <v>14.2</v>
      </c>
      <c r="EP60">
        <v>14.3</v>
      </c>
      <c r="EQ60">
        <v>14.4</v>
      </c>
      <c r="ER60">
        <v>14.5</v>
      </c>
      <c r="ES60">
        <v>14.6</v>
      </c>
      <c r="ET60">
        <v>14.7</v>
      </c>
      <c r="EU60">
        <v>14.8</v>
      </c>
      <c r="EV60">
        <v>14.9</v>
      </c>
      <c r="EW60">
        <v>15</v>
      </c>
      <c r="EX60">
        <v>15.1</v>
      </c>
      <c r="EY60">
        <v>15.2</v>
      </c>
      <c r="EZ60">
        <v>15.3</v>
      </c>
      <c r="FA60">
        <v>15.4</v>
      </c>
      <c r="FB60">
        <v>15.5</v>
      </c>
      <c r="FC60">
        <v>15.6</v>
      </c>
      <c r="FD60">
        <v>15.7</v>
      </c>
      <c r="FE60">
        <v>15.8</v>
      </c>
      <c r="FF60">
        <v>15.9</v>
      </c>
      <c r="FG60">
        <v>16</v>
      </c>
      <c r="FH60">
        <v>16.1</v>
      </c>
      <c r="FI60">
        <v>16.2</v>
      </c>
      <c r="FJ60">
        <v>16.3</v>
      </c>
      <c r="FK60">
        <v>16.4</v>
      </c>
      <c r="FL60">
        <v>16.5</v>
      </c>
      <c r="FM60">
        <v>16.6</v>
      </c>
      <c r="FN60">
        <v>16.7</v>
      </c>
      <c r="FO60">
        <v>16.8</v>
      </c>
      <c r="FP60">
        <v>16.9</v>
      </c>
      <c r="FQ60">
        <v>17</v>
      </c>
      <c r="FR60">
        <v>17.1</v>
      </c>
      <c r="FS60">
        <v>17.2</v>
      </c>
      <c r="FT60">
        <v>17.3</v>
      </c>
      <c r="FU60">
        <v>17.4</v>
      </c>
      <c r="FV60">
        <v>17.5</v>
      </c>
      <c r="FW60">
        <v>17.6</v>
      </c>
      <c r="FX60">
        <v>17.7</v>
      </c>
      <c r="FY60">
        <v>17.8</v>
      </c>
      <c r="FZ60">
        <v>17.9</v>
      </c>
      <c r="GA60">
        <v>18</v>
      </c>
      <c r="GB60">
        <v>18.1</v>
      </c>
      <c r="GC60">
        <v>18.2</v>
      </c>
      <c r="GD60">
        <v>18.3</v>
      </c>
      <c r="GE60">
        <v>18.4</v>
      </c>
      <c r="GF60">
        <v>18.5</v>
      </c>
      <c r="GG60">
        <v>18.6</v>
      </c>
      <c r="GH60">
        <v>18.7</v>
      </c>
      <c r="GI60">
        <v>18.8</v>
      </c>
      <c r="GJ60">
        <v>18.9</v>
      </c>
      <c r="GK60">
        <v>19</v>
      </c>
      <c r="GL60">
        <v>19.1</v>
      </c>
      <c r="GM60">
        <v>19.2</v>
      </c>
      <c r="GN60">
        <v>19.3</v>
      </c>
      <c r="GO60">
        <v>19.4</v>
      </c>
      <c r="GP60">
        <v>19.5</v>
      </c>
      <c r="GQ60">
        <v>19.6</v>
      </c>
      <c r="GR60">
        <v>19.7</v>
      </c>
      <c r="GS60">
        <v>19.8</v>
      </c>
      <c r="GT60">
        <v>19.9</v>
      </c>
      <c r="GU60">
        <v>20</v>
      </c>
      <c r="GV60">
        <v>20.1</v>
      </c>
      <c r="GW60">
        <v>20.2</v>
      </c>
      <c r="GX60">
        <v>20.3</v>
      </c>
      <c r="GY60">
        <v>20.4</v>
      </c>
      <c r="GZ60">
        <v>20.5</v>
      </c>
      <c r="HA60">
        <v>20.6</v>
      </c>
      <c r="HB60">
        <v>20.7</v>
      </c>
      <c r="HC60">
        <v>20.8</v>
      </c>
      <c r="HD60">
        <v>20.9</v>
      </c>
      <c r="HE60">
        <v>21</v>
      </c>
      <c r="HF60">
        <v>21.1</v>
      </c>
      <c r="HG60">
        <v>21.2</v>
      </c>
      <c r="HH60">
        <v>21.3</v>
      </c>
      <c r="HI60">
        <v>21.4</v>
      </c>
      <c r="HJ60">
        <v>21.5</v>
      </c>
      <c r="HK60">
        <v>21.6</v>
      </c>
      <c r="HL60">
        <v>21.7</v>
      </c>
      <c r="HM60">
        <v>21.8</v>
      </c>
      <c r="HN60">
        <v>21.9</v>
      </c>
      <c r="HO60">
        <v>22</v>
      </c>
      <c r="HP60">
        <v>22.1</v>
      </c>
      <c r="HQ60">
        <v>22.2</v>
      </c>
      <c r="HR60">
        <v>22.3</v>
      </c>
      <c r="HS60">
        <v>22.4</v>
      </c>
      <c r="HT60">
        <v>22.5</v>
      </c>
      <c r="HU60">
        <v>22.6</v>
      </c>
      <c r="HV60">
        <v>22.7</v>
      </c>
      <c r="HW60">
        <v>22.8</v>
      </c>
      <c r="HX60">
        <v>22.9</v>
      </c>
      <c r="HY60">
        <v>23</v>
      </c>
      <c r="HZ60">
        <v>23.1</v>
      </c>
      <c r="IA60">
        <v>23.2</v>
      </c>
      <c r="IB60">
        <v>23.3</v>
      </c>
      <c r="IC60">
        <v>23.4</v>
      </c>
      <c r="ID60">
        <v>23.5</v>
      </c>
      <c r="IE60">
        <v>23.6</v>
      </c>
      <c r="IF60">
        <v>23.7</v>
      </c>
      <c r="IG60">
        <v>23.8</v>
      </c>
      <c r="IH60">
        <v>23.9</v>
      </c>
      <c r="II60">
        <v>24</v>
      </c>
      <c r="IJ60">
        <v>24.1</v>
      </c>
      <c r="IK60">
        <v>24.2</v>
      </c>
      <c r="IL60">
        <v>24.3</v>
      </c>
      <c r="IM60">
        <v>24.4</v>
      </c>
      <c r="IN60">
        <v>24.5</v>
      </c>
      <c r="IO60">
        <v>24.6</v>
      </c>
      <c r="IP60">
        <v>24.7</v>
      </c>
      <c r="IQ60">
        <v>24.8</v>
      </c>
      <c r="IR60">
        <v>24.9</v>
      </c>
      <c r="IS60">
        <v>25</v>
      </c>
    </row>
    <row r="61" spans="1:253" ht="12.75">
      <c r="A61" t="s">
        <v>14</v>
      </c>
      <c r="C61" s="83">
        <f aca="true" t="shared" si="0" ref="C61:BN61">IF(V_burette&lt;C60,-1,IF((C_becher*V_becher-C_burette*C60)&gt;0,((($L$5*(C_becher*V_becher-C_burette*C60))+($X$5*C_burette*C60+$Q$5*C_becher*V_becher))/(V_becher+V_eau_cond1+C60)),((($U$5*(C_burette*C60-C_becher*V_becher))+($X$5*C_burette*C60+$Q$5*C_becher*V_becher))/(V_becher+V_eau_cond1+C60))))</f>
        <v>0</v>
      </c>
      <c r="D61" s="83">
        <f t="shared" si="0"/>
        <v>-1</v>
      </c>
      <c r="E61" s="83">
        <f t="shared" si="0"/>
        <v>-1</v>
      </c>
      <c r="F61" s="83">
        <f t="shared" si="0"/>
        <v>-1</v>
      </c>
      <c r="G61" s="83">
        <f t="shared" si="0"/>
        <v>-1</v>
      </c>
      <c r="H61" s="83">
        <f t="shared" si="0"/>
        <v>-1</v>
      </c>
      <c r="I61" s="83">
        <f t="shared" si="0"/>
        <v>-1</v>
      </c>
      <c r="J61" s="83">
        <f t="shared" si="0"/>
        <v>-1</v>
      </c>
      <c r="K61" s="83">
        <f t="shared" si="0"/>
        <v>-1</v>
      </c>
      <c r="L61" s="83">
        <f t="shared" si="0"/>
        <v>-1</v>
      </c>
      <c r="M61" s="83">
        <f t="shared" si="0"/>
        <v>-1</v>
      </c>
      <c r="N61" s="83">
        <f t="shared" si="0"/>
        <v>-1</v>
      </c>
      <c r="O61" s="83">
        <f t="shared" si="0"/>
        <v>-1</v>
      </c>
      <c r="P61" s="83">
        <f t="shared" si="0"/>
        <v>-1</v>
      </c>
      <c r="Q61" s="83">
        <f t="shared" si="0"/>
        <v>-1</v>
      </c>
      <c r="R61" s="83">
        <f t="shared" si="0"/>
        <v>-1</v>
      </c>
      <c r="S61" s="83">
        <f t="shared" si="0"/>
        <v>-1</v>
      </c>
      <c r="T61" s="83">
        <f t="shared" si="0"/>
        <v>-1</v>
      </c>
      <c r="U61" s="83">
        <f t="shared" si="0"/>
        <v>-1</v>
      </c>
      <c r="V61" s="83">
        <f t="shared" si="0"/>
        <v>-1</v>
      </c>
      <c r="W61" s="83">
        <f t="shared" si="0"/>
        <v>-1</v>
      </c>
      <c r="X61" s="83">
        <f t="shared" si="0"/>
        <v>-1</v>
      </c>
      <c r="Y61" s="83">
        <f t="shared" si="0"/>
        <v>-1</v>
      </c>
      <c r="Z61" s="83">
        <f t="shared" si="0"/>
        <v>-1</v>
      </c>
      <c r="AA61" s="83">
        <f t="shared" si="0"/>
        <v>-1</v>
      </c>
      <c r="AB61" s="83">
        <f t="shared" si="0"/>
        <v>-1</v>
      </c>
      <c r="AC61" s="83">
        <f t="shared" si="0"/>
        <v>-1</v>
      </c>
      <c r="AD61" s="83">
        <f t="shared" si="0"/>
        <v>-1</v>
      </c>
      <c r="AE61" s="83">
        <f t="shared" si="0"/>
        <v>-1</v>
      </c>
      <c r="AF61" s="83">
        <f t="shared" si="0"/>
        <v>-1</v>
      </c>
      <c r="AG61" s="83">
        <f t="shared" si="0"/>
        <v>-1</v>
      </c>
      <c r="AH61" s="83">
        <f t="shared" si="0"/>
        <v>-1</v>
      </c>
      <c r="AI61" s="83">
        <f t="shared" si="0"/>
        <v>-1</v>
      </c>
      <c r="AJ61" s="83">
        <f t="shared" si="0"/>
        <v>-1</v>
      </c>
      <c r="AK61" s="83">
        <f t="shared" si="0"/>
        <v>-1</v>
      </c>
      <c r="AL61" s="83">
        <f t="shared" si="0"/>
        <v>-1</v>
      </c>
      <c r="AM61" s="83">
        <f t="shared" si="0"/>
        <v>-1</v>
      </c>
      <c r="AN61" s="83">
        <f t="shared" si="0"/>
        <v>-1</v>
      </c>
      <c r="AO61" s="83">
        <f t="shared" si="0"/>
        <v>-1</v>
      </c>
      <c r="AP61" s="83">
        <f t="shared" si="0"/>
        <v>-1</v>
      </c>
      <c r="AQ61" s="83">
        <f t="shared" si="0"/>
        <v>-1</v>
      </c>
      <c r="AR61" s="83">
        <f t="shared" si="0"/>
        <v>-1</v>
      </c>
      <c r="AS61" s="83">
        <f t="shared" si="0"/>
        <v>-1</v>
      </c>
      <c r="AT61" s="83">
        <f t="shared" si="0"/>
        <v>-1</v>
      </c>
      <c r="AU61" s="83">
        <f t="shared" si="0"/>
        <v>-1</v>
      </c>
      <c r="AV61" s="83">
        <f t="shared" si="0"/>
        <v>-1</v>
      </c>
      <c r="AW61" s="83">
        <f t="shared" si="0"/>
        <v>-1</v>
      </c>
      <c r="AX61" s="83">
        <f t="shared" si="0"/>
        <v>-1</v>
      </c>
      <c r="AY61" s="83">
        <f t="shared" si="0"/>
        <v>-1</v>
      </c>
      <c r="AZ61" s="83">
        <f t="shared" si="0"/>
        <v>-1</v>
      </c>
      <c r="BA61" s="83">
        <f t="shared" si="0"/>
        <v>-1</v>
      </c>
      <c r="BB61" s="83">
        <f t="shared" si="0"/>
        <v>-1</v>
      </c>
      <c r="BC61" s="83">
        <f t="shared" si="0"/>
        <v>-1</v>
      </c>
      <c r="BD61" s="83">
        <f t="shared" si="0"/>
        <v>-1</v>
      </c>
      <c r="BE61" s="83">
        <f t="shared" si="0"/>
        <v>-1</v>
      </c>
      <c r="BF61" s="83">
        <f t="shared" si="0"/>
        <v>-1</v>
      </c>
      <c r="BG61" s="83">
        <f t="shared" si="0"/>
        <v>-1</v>
      </c>
      <c r="BH61" s="83">
        <f t="shared" si="0"/>
        <v>-1</v>
      </c>
      <c r="BI61" s="83">
        <f t="shared" si="0"/>
        <v>-1</v>
      </c>
      <c r="BJ61" s="83">
        <f t="shared" si="0"/>
        <v>-1</v>
      </c>
      <c r="BK61" s="83">
        <f t="shared" si="0"/>
        <v>-1</v>
      </c>
      <c r="BL61" s="83">
        <f t="shared" si="0"/>
        <v>-1</v>
      </c>
      <c r="BM61" s="83">
        <f t="shared" si="0"/>
        <v>-1</v>
      </c>
      <c r="BN61" s="83">
        <f t="shared" si="0"/>
        <v>-1</v>
      </c>
      <c r="BO61" s="83">
        <f aca="true" t="shared" si="1" ref="BO61:DZ61">IF(V_burette&lt;BO60,-1,IF((C_becher*V_becher-C_burette*BO60)&gt;0,((($L$5*(C_becher*V_becher-C_burette*BO60))+($X$5*C_burette*BO60+$Q$5*C_becher*V_becher))/(V_becher+V_eau_cond1+BO60)),((($U$5*(C_burette*BO60-C_becher*V_becher))+($X$5*C_burette*BO60+$Q$5*C_becher*V_becher))/(V_becher+V_eau_cond1+BO60))))</f>
        <v>-1</v>
      </c>
      <c r="BP61" s="83">
        <f t="shared" si="1"/>
        <v>-1</v>
      </c>
      <c r="BQ61" s="83">
        <f t="shared" si="1"/>
        <v>-1</v>
      </c>
      <c r="BR61" s="83">
        <f t="shared" si="1"/>
        <v>-1</v>
      </c>
      <c r="BS61" s="83">
        <f t="shared" si="1"/>
        <v>-1</v>
      </c>
      <c r="BT61" s="83">
        <f t="shared" si="1"/>
        <v>-1</v>
      </c>
      <c r="BU61" s="83">
        <f t="shared" si="1"/>
        <v>-1</v>
      </c>
      <c r="BV61" s="83">
        <f t="shared" si="1"/>
        <v>-1</v>
      </c>
      <c r="BW61" s="83">
        <f t="shared" si="1"/>
        <v>-1</v>
      </c>
      <c r="BX61" s="83">
        <f t="shared" si="1"/>
        <v>-1</v>
      </c>
      <c r="BY61" s="83">
        <f t="shared" si="1"/>
        <v>-1</v>
      </c>
      <c r="BZ61" s="83">
        <f t="shared" si="1"/>
        <v>-1</v>
      </c>
      <c r="CA61" s="83">
        <f t="shared" si="1"/>
        <v>-1</v>
      </c>
      <c r="CB61" s="83">
        <f t="shared" si="1"/>
        <v>-1</v>
      </c>
      <c r="CC61" s="83">
        <f t="shared" si="1"/>
        <v>-1</v>
      </c>
      <c r="CD61" s="83">
        <f t="shared" si="1"/>
        <v>-1</v>
      </c>
      <c r="CE61" s="83">
        <f t="shared" si="1"/>
        <v>-1</v>
      </c>
      <c r="CF61" s="83">
        <f t="shared" si="1"/>
        <v>-1</v>
      </c>
      <c r="CG61" s="83">
        <f t="shared" si="1"/>
        <v>-1</v>
      </c>
      <c r="CH61" s="83">
        <f t="shared" si="1"/>
        <v>-1</v>
      </c>
      <c r="CI61" s="83">
        <f t="shared" si="1"/>
        <v>-1</v>
      </c>
      <c r="CJ61" s="83">
        <f t="shared" si="1"/>
        <v>-1</v>
      </c>
      <c r="CK61" s="83">
        <f t="shared" si="1"/>
        <v>-1</v>
      </c>
      <c r="CL61" s="83">
        <f t="shared" si="1"/>
        <v>-1</v>
      </c>
      <c r="CM61" s="83">
        <f t="shared" si="1"/>
        <v>-1</v>
      </c>
      <c r="CN61" s="83">
        <f t="shared" si="1"/>
        <v>-1</v>
      </c>
      <c r="CO61" s="83">
        <f t="shared" si="1"/>
        <v>-1</v>
      </c>
      <c r="CP61" s="83">
        <f t="shared" si="1"/>
        <v>-1</v>
      </c>
      <c r="CQ61" s="83">
        <f t="shared" si="1"/>
        <v>-1</v>
      </c>
      <c r="CR61" s="83">
        <f t="shared" si="1"/>
        <v>-1</v>
      </c>
      <c r="CS61" s="83">
        <f t="shared" si="1"/>
        <v>-1</v>
      </c>
      <c r="CT61" s="83">
        <f t="shared" si="1"/>
        <v>-1</v>
      </c>
      <c r="CU61" s="83">
        <f t="shared" si="1"/>
        <v>-1</v>
      </c>
      <c r="CV61" s="83">
        <f t="shared" si="1"/>
        <v>-1</v>
      </c>
      <c r="CW61" s="83">
        <f t="shared" si="1"/>
        <v>-1</v>
      </c>
      <c r="CX61" s="83">
        <f t="shared" si="1"/>
        <v>-1</v>
      </c>
      <c r="CY61" s="83">
        <f t="shared" si="1"/>
        <v>-1</v>
      </c>
      <c r="CZ61" s="83">
        <f t="shared" si="1"/>
        <v>-1</v>
      </c>
      <c r="DA61" s="83">
        <f t="shared" si="1"/>
        <v>-1</v>
      </c>
      <c r="DB61" s="83">
        <f t="shared" si="1"/>
        <v>-1</v>
      </c>
      <c r="DC61" s="83">
        <f t="shared" si="1"/>
        <v>-1</v>
      </c>
      <c r="DD61" s="83">
        <f t="shared" si="1"/>
        <v>-1</v>
      </c>
      <c r="DE61" s="83">
        <f t="shared" si="1"/>
        <v>-1</v>
      </c>
      <c r="DF61" s="83">
        <f t="shared" si="1"/>
        <v>-1</v>
      </c>
      <c r="DG61" s="83">
        <f t="shared" si="1"/>
        <v>-1</v>
      </c>
      <c r="DH61" s="83">
        <f t="shared" si="1"/>
        <v>-1</v>
      </c>
      <c r="DI61" s="83">
        <f t="shared" si="1"/>
        <v>-1</v>
      </c>
      <c r="DJ61" s="83">
        <f t="shared" si="1"/>
        <v>-1</v>
      </c>
      <c r="DK61" s="83">
        <f t="shared" si="1"/>
        <v>-1</v>
      </c>
      <c r="DL61" s="83">
        <f t="shared" si="1"/>
        <v>-1</v>
      </c>
      <c r="DM61" s="83">
        <f t="shared" si="1"/>
        <v>-1</v>
      </c>
      <c r="DN61" s="83">
        <f t="shared" si="1"/>
        <v>-1</v>
      </c>
      <c r="DO61" s="83">
        <f t="shared" si="1"/>
        <v>-1</v>
      </c>
      <c r="DP61" s="83">
        <f t="shared" si="1"/>
        <v>-1</v>
      </c>
      <c r="DQ61" s="83">
        <f t="shared" si="1"/>
        <v>-1</v>
      </c>
      <c r="DR61" s="83">
        <f t="shared" si="1"/>
        <v>-1</v>
      </c>
      <c r="DS61" s="83">
        <f t="shared" si="1"/>
        <v>-1</v>
      </c>
      <c r="DT61" s="83">
        <f t="shared" si="1"/>
        <v>-1</v>
      </c>
      <c r="DU61" s="83">
        <f t="shared" si="1"/>
        <v>-1</v>
      </c>
      <c r="DV61" s="83">
        <f t="shared" si="1"/>
        <v>-1</v>
      </c>
      <c r="DW61" s="83">
        <f t="shared" si="1"/>
        <v>-1</v>
      </c>
      <c r="DX61" s="83">
        <f t="shared" si="1"/>
        <v>-1</v>
      </c>
      <c r="DY61" s="83">
        <f t="shared" si="1"/>
        <v>-1</v>
      </c>
      <c r="DZ61" s="83">
        <f t="shared" si="1"/>
        <v>-1</v>
      </c>
      <c r="EA61" s="83">
        <f aca="true" t="shared" si="2" ref="EA61:GL61">IF(V_burette&lt;EA60,-1,IF((C_becher*V_becher-C_burette*EA60)&gt;0,((($L$5*(C_becher*V_becher-C_burette*EA60))+($X$5*C_burette*EA60+$Q$5*C_becher*V_becher))/(V_becher+V_eau_cond1+EA60)),((($U$5*(C_burette*EA60-C_becher*V_becher))+($X$5*C_burette*EA60+$Q$5*C_becher*V_becher))/(V_becher+V_eau_cond1+EA60))))</f>
        <v>-1</v>
      </c>
      <c r="EB61" s="83">
        <f t="shared" si="2"/>
        <v>-1</v>
      </c>
      <c r="EC61" s="83">
        <f t="shared" si="2"/>
        <v>-1</v>
      </c>
      <c r="ED61" s="83">
        <f t="shared" si="2"/>
        <v>-1</v>
      </c>
      <c r="EE61" s="83">
        <f t="shared" si="2"/>
        <v>-1</v>
      </c>
      <c r="EF61" s="83">
        <f t="shared" si="2"/>
        <v>-1</v>
      </c>
      <c r="EG61" s="83">
        <f t="shared" si="2"/>
        <v>-1</v>
      </c>
      <c r="EH61" s="83">
        <f t="shared" si="2"/>
        <v>-1</v>
      </c>
      <c r="EI61" s="83">
        <f t="shared" si="2"/>
        <v>-1</v>
      </c>
      <c r="EJ61" s="83">
        <f t="shared" si="2"/>
        <v>-1</v>
      </c>
      <c r="EK61" s="83">
        <f t="shared" si="2"/>
        <v>-1</v>
      </c>
      <c r="EL61" s="83">
        <f t="shared" si="2"/>
        <v>-1</v>
      </c>
      <c r="EM61" s="83">
        <f t="shared" si="2"/>
        <v>-1</v>
      </c>
      <c r="EN61" s="83">
        <f t="shared" si="2"/>
        <v>-1</v>
      </c>
      <c r="EO61" s="83">
        <f t="shared" si="2"/>
        <v>-1</v>
      </c>
      <c r="EP61" s="83">
        <f t="shared" si="2"/>
        <v>-1</v>
      </c>
      <c r="EQ61" s="83">
        <f t="shared" si="2"/>
        <v>-1</v>
      </c>
      <c r="ER61" s="83">
        <f t="shared" si="2"/>
        <v>-1</v>
      </c>
      <c r="ES61" s="83">
        <f t="shared" si="2"/>
        <v>-1</v>
      </c>
      <c r="ET61" s="83">
        <f t="shared" si="2"/>
        <v>-1</v>
      </c>
      <c r="EU61" s="83">
        <f t="shared" si="2"/>
        <v>-1</v>
      </c>
      <c r="EV61" s="83">
        <f t="shared" si="2"/>
        <v>-1</v>
      </c>
      <c r="EW61" s="83">
        <f t="shared" si="2"/>
        <v>-1</v>
      </c>
      <c r="EX61" s="83">
        <f t="shared" si="2"/>
        <v>-1</v>
      </c>
      <c r="EY61" s="83">
        <f t="shared" si="2"/>
        <v>-1</v>
      </c>
      <c r="EZ61" s="83">
        <f t="shared" si="2"/>
        <v>-1</v>
      </c>
      <c r="FA61" s="83">
        <f t="shared" si="2"/>
        <v>-1</v>
      </c>
      <c r="FB61" s="83">
        <f t="shared" si="2"/>
        <v>-1</v>
      </c>
      <c r="FC61" s="83">
        <f t="shared" si="2"/>
        <v>-1</v>
      </c>
      <c r="FD61" s="83">
        <f t="shared" si="2"/>
        <v>-1</v>
      </c>
      <c r="FE61" s="83">
        <f t="shared" si="2"/>
        <v>-1</v>
      </c>
      <c r="FF61" s="83">
        <f t="shared" si="2"/>
        <v>-1</v>
      </c>
      <c r="FG61" s="83">
        <f t="shared" si="2"/>
        <v>-1</v>
      </c>
      <c r="FH61" s="83">
        <f t="shared" si="2"/>
        <v>-1</v>
      </c>
      <c r="FI61" s="83">
        <f t="shared" si="2"/>
        <v>-1</v>
      </c>
      <c r="FJ61" s="83">
        <f t="shared" si="2"/>
        <v>-1</v>
      </c>
      <c r="FK61" s="83">
        <f t="shared" si="2"/>
        <v>-1</v>
      </c>
      <c r="FL61" s="83">
        <f t="shared" si="2"/>
        <v>-1</v>
      </c>
      <c r="FM61" s="83">
        <f t="shared" si="2"/>
        <v>-1</v>
      </c>
      <c r="FN61" s="83">
        <f t="shared" si="2"/>
        <v>-1</v>
      </c>
      <c r="FO61" s="83">
        <f t="shared" si="2"/>
        <v>-1</v>
      </c>
      <c r="FP61" s="83">
        <f t="shared" si="2"/>
        <v>-1</v>
      </c>
      <c r="FQ61" s="83">
        <f t="shared" si="2"/>
        <v>-1</v>
      </c>
      <c r="FR61" s="83">
        <f t="shared" si="2"/>
        <v>-1</v>
      </c>
      <c r="FS61" s="83">
        <f t="shared" si="2"/>
        <v>-1</v>
      </c>
      <c r="FT61" s="83">
        <f t="shared" si="2"/>
        <v>-1</v>
      </c>
      <c r="FU61" s="83">
        <f t="shared" si="2"/>
        <v>-1</v>
      </c>
      <c r="FV61" s="83">
        <f t="shared" si="2"/>
        <v>-1</v>
      </c>
      <c r="FW61" s="83">
        <f t="shared" si="2"/>
        <v>-1</v>
      </c>
      <c r="FX61" s="83">
        <f t="shared" si="2"/>
        <v>-1</v>
      </c>
      <c r="FY61" s="83">
        <f t="shared" si="2"/>
        <v>-1</v>
      </c>
      <c r="FZ61" s="83">
        <f t="shared" si="2"/>
        <v>-1</v>
      </c>
      <c r="GA61" s="83">
        <f t="shared" si="2"/>
        <v>-1</v>
      </c>
      <c r="GB61" s="83">
        <f t="shared" si="2"/>
        <v>-1</v>
      </c>
      <c r="GC61" s="83">
        <f t="shared" si="2"/>
        <v>-1</v>
      </c>
      <c r="GD61" s="83">
        <f t="shared" si="2"/>
        <v>-1</v>
      </c>
      <c r="GE61" s="83">
        <f t="shared" si="2"/>
        <v>-1</v>
      </c>
      <c r="GF61" s="83">
        <f t="shared" si="2"/>
        <v>-1</v>
      </c>
      <c r="GG61" s="83">
        <f t="shared" si="2"/>
        <v>-1</v>
      </c>
      <c r="GH61" s="83">
        <f t="shared" si="2"/>
        <v>-1</v>
      </c>
      <c r="GI61" s="83">
        <f t="shared" si="2"/>
        <v>-1</v>
      </c>
      <c r="GJ61" s="83">
        <f t="shared" si="2"/>
        <v>-1</v>
      </c>
      <c r="GK61" s="83">
        <f t="shared" si="2"/>
        <v>-1</v>
      </c>
      <c r="GL61" s="83">
        <f t="shared" si="2"/>
        <v>-1</v>
      </c>
      <c r="GM61" s="83">
        <f aca="true" t="shared" si="3" ref="GM61:IS61">IF(V_burette&lt;GM60,-1,IF((C_becher*V_becher-C_burette*GM60)&gt;0,((($L$5*(C_becher*V_becher-C_burette*GM60))+($X$5*C_burette*GM60+$Q$5*C_becher*V_becher))/(V_becher+V_eau_cond1+GM60)),((($U$5*(C_burette*GM60-C_becher*V_becher))+($X$5*C_burette*GM60+$Q$5*C_becher*V_becher))/(V_becher+V_eau_cond1+GM60))))</f>
        <v>-1</v>
      </c>
      <c r="GN61" s="83">
        <f t="shared" si="3"/>
        <v>-1</v>
      </c>
      <c r="GO61" s="83">
        <f t="shared" si="3"/>
        <v>-1</v>
      </c>
      <c r="GP61" s="83">
        <f t="shared" si="3"/>
        <v>-1</v>
      </c>
      <c r="GQ61" s="83">
        <f t="shared" si="3"/>
        <v>-1</v>
      </c>
      <c r="GR61" s="83">
        <f t="shared" si="3"/>
        <v>-1</v>
      </c>
      <c r="GS61" s="83">
        <f t="shared" si="3"/>
        <v>-1</v>
      </c>
      <c r="GT61" s="83">
        <f t="shared" si="3"/>
        <v>-1</v>
      </c>
      <c r="GU61" s="83">
        <f t="shared" si="3"/>
        <v>-1</v>
      </c>
      <c r="GV61" s="83">
        <f t="shared" si="3"/>
        <v>-1</v>
      </c>
      <c r="GW61" s="83">
        <f t="shared" si="3"/>
        <v>-1</v>
      </c>
      <c r="GX61" s="83">
        <f t="shared" si="3"/>
        <v>-1</v>
      </c>
      <c r="GY61" s="83">
        <f t="shared" si="3"/>
        <v>-1</v>
      </c>
      <c r="GZ61" s="83">
        <f t="shared" si="3"/>
        <v>-1</v>
      </c>
      <c r="HA61" s="83">
        <f t="shared" si="3"/>
        <v>-1</v>
      </c>
      <c r="HB61" s="83">
        <f t="shared" si="3"/>
        <v>-1</v>
      </c>
      <c r="HC61" s="83">
        <f t="shared" si="3"/>
        <v>-1</v>
      </c>
      <c r="HD61" s="83">
        <f t="shared" si="3"/>
        <v>-1</v>
      </c>
      <c r="HE61" s="83">
        <f t="shared" si="3"/>
        <v>-1</v>
      </c>
      <c r="HF61" s="83">
        <f t="shared" si="3"/>
        <v>-1</v>
      </c>
      <c r="HG61" s="83">
        <f t="shared" si="3"/>
        <v>-1</v>
      </c>
      <c r="HH61" s="83">
        <f t="shared" si="3"/>
        <v>-1</v>
      </c>
      <c r="HI61" s="83">
        <f t="shared" si="3"/>
        <v>-1</v>
      </c>
      <c r="HJ61" s="83">
        <f t="shared" si="3"/>
        <v>-1</v>
      </c>
      <c r="HK61" s="83">
        <f t="shared" si="3"/>
        <v>-1</v>
      </c>
      <c r="HL61" s="83">
        <f t="shared" si="3"/>
        <v>-1</v>
      </c>
      <c r="HM61" s="83">
        <f t="shared" si="3"/>
        <v>-1</v>
      </c>
      <c r="HN61" s="83">
        <f t="shared" si="3"/>
        <v>-1</v>
      </c>
      <c r="HO61" s="83">
        <f t="shared" si="3"/>
        <v>-1</v>
      </c>
      <c r="HP61" s="83">
        <f t="shared" si="3"/>
        <v>-1</v>
      </c>
      <c r="HQ61" s="83">
        <f t="shared" si="3"/>
        <v>-1</v>
      </c>
      <c r="HR61" s="83">
        <f t="shared" si="3"/>
        <v>-1</v>
      </c>
      <c r="HS61" s="83">
        <f t="shared" si="3"/>
        <v>-1</v>
      </c>
      <c r="HT61" s="83">
        <f t="shared" si="3"/>
        <v>-1</v>
      </c>
      <c r="HU61" s="83">
        <f t="shared" si="3"/>
        <v>-1</v>
      </c>
      <c r="HV61" s="83">
        <f t="shared" si="3"/>
        <v>-1</v>
      </c>
      <c r="HW61" s="83">
        <f t="shared" si="3"/>
        <v>-1</v>
      </c>
      <c r="HX61" s="83">
        <f t="shared" si="3"/>
        <v>-1</v>
      </c>
      <c r="HY61" s="83">
        <f t="shared" si="3"/>
        <v>-1</v>
      </c>
      <c r="HZ61" s="83">
        <f t="shared" si="3"/>
        <v>-1</v>
      </c>
      <c r="IA61" s="83">
        <f t="shared" si="3"/>
        <v>-1</v>
      </c>
      <c r="IB61" s="83">
        <f t="shared" si="3"/>
        <v>-1</v>
      </c>
      <c r="IC61" s="83">
        <f t="shared" si="3"/>
        <v>-1</v>
      </c>
      <c r="ID61" s="83">
        <f t="shared" si="3"/>
        <v>-1</v>
      </c>
      <c r="IE61" s="83">
        <f t="shared" si="3"/>
        <v>-1</v>
      </c>
      <c r="IF61" s="83">
        <f t="shared" si="3"/>
        <v>-1</v>
      </c>
      <c r="IG61" s="83">
        <f t="shared" si="3"/>
        <v>-1</v>
      </c>
      <c r="IH61" s="83">
        <f t="shared" si="3"/>
        <v>-1</v>
      </c>
      <c r="II61" s="83">
        <f t="shared" si="3"/>
        <v>-1</v>
      </c>
      <c r="IJ61" s="83">
        <f t="shared" si="3"/>
        <v>-1</v>
      </c>
      <c r="IK61" s="83">
        <f t="shared" si="3"/>
        <v>-1</v>
      </c>
      <c r="IL61" s="83">
        <f t="shared" si="3"/>
        <v>-1</v>
      </c>
      <c r="IM61" s="83">
        <f t="shared" si="3"/>
        <v>-1</v>
      </c>
      <c r="IN61" s="83">
        <f t="shared" si="3"/>
        <v>-1</v>
      </c>
      <c r="IO61" s="83">
        <f t="shared" si="3"/>
        <v>-1</v>
      </c>
      <c r="IP61" s="83">
        <f t="shared" si="3"/>
        <v>-1</v>
      </c>
      <c r="IQ61" s="83">
        <f t="shared" si="3"/>
        <v>-1</v>
      </c>
      <c r="IR61" s="83">
        <f t="shared" si="3"/>
        <v>-1</v>
      </c>
      <c r="IS61" s="83">
        <f t="shared" si="3"/>
        <v>-1</v>
      </c>
    </row>
    <row r="62" spans="1:253" ht="12.75">
      <c r="A62" t="s">
        <v>18</v>
      </c>
      <c r="C62" s="83">
        <f aca="true" t="shared" si="4" ref="C62:BN62">IF(V_burette&lt;C60,-1,IF((C_becher*V_becher-C_burette*C60)&gt;0,((V_becher+V_eau_cond1+C60)/V_becher+V_eau_cond1)*((($L$5*(C_becher*V_becher-C_burette*C60))+($X$5*C_burette*C60+$Q$5*C_becher*V_becher))/(V_becher+V_eau_cond1+C60)),((V_becher+V_eau_cond1+C60)/V_becher+V_eau_cond1)*((($U$5*(C_burette*C60-C_becher*V_becher))+($X$5*C_burette*C60+$Q$5*C_becher*V_becher))/(V_becher+V_eau_cond1+C60))))</f>
        <v>0</v>
      </c>
      <c r="D62" s="83">
        <f t="shared" si="4"/>
        <v>-1</v>
      </c>
      <c r="E62" s="83">
        <f t="shared" si="4"/>
        <v>-1</v>
      </c>
      <c r="F62" s="83">
        <f t="shared" si="4"/>
        <v>-1</v>
      </c>
      <c r="G62" s="83">
        <f t="shared" si="4"/>
        <v>-1</v>
      </c>
      <c r="H62" s="83">
        <f t="shared" si="4"/>
        <v>-1</v>
      </c>
      <c r="I62" s="83">
        <f t="shared" si="4"/>
        <v>-1</v>
      </c>
      <c r="J62" s="83">
        <f t="shared" si="4"/>
        <v>-1</v>
      </c>
      <c r="K62" s="83">
        <f t="shared" si="4"/>
        <v>-1</v>
      </c>
      <c r="L62" s="83">
        <f t="shared" si="4"/>
        <v>-1</v>
      </c>
      <c r="M62" s="83">
        <f t="shared" si="4"/>
        <v>-1</v>
      </c>
      <c r="N62" s="83">
        <f t="shared" si="4"/>
        <v>-1</v>
      </c>
      <c r="O62" s="83">
        <f t="shared" si="4"/>
        <v>-1</v>
      </c>
      <c r="P62" s="83">
        <f t="shared" si="4"/>
        <v>-1</v>
      </c>
      <c r="Q62" s="83">
        <f t="shared" si="4"/>
        <v>-1</v>
      </c>
      <c r="R62" s="83">
        <f t="shared" si="4"/>
        <v>-1</v>
      </c>
      <c r="S62" s="83">
        <f t="shared" si="4"/>
        <v>-1</v>
      </c>
      <c r="T62" s="83">
        <f t="shared" si="4"/>
        <v>-1</v>
      </c>
      <c r="U62" s="83">
        <f t="shared" si="4"/>
        <v>-1</v>
      </c>
      <c r="V62" s="83">
        <f t="shared" si="4"/>
        <v>-1</v>
      </c>
      <c r="W62" s="83">
        <f t="shared" si="4"/>
        <v>-1</v>
      </c>
      <c r="X62" s="83">
        <f t="shared" si="4"/>
        <v>-1</v>
      </c>
      <c r="Y62" s="83">
        <f t="shared" si="4"/>
        <v>-1</v>
      </c>
      <c r="Z62" s="83">
        <f t="shared" si="4"/>
        <v>-1</v>
      </c>
      <c r="AA62" s="83">
        <f t="shared" si="4"/>
        <v>-1</v>
      </c>
      <c r="AB62" s="83">
        <f t="shared" si="4"/>
        <v>-1</v>
      </c>
      <c r="AC62" s="83">
        <f t="shared" si="4"/>
        <v>-1</v>
      </c>
      <c r="AD62" s="83">
        <f t="shared" si="4"/>
        <v>-1</v>
      </c>
      <c r="AE62" s="83">
        <f t="shared" si="4"/>
        <v>-1</v>
      </c>
      <c r="AF62" s="83">
        <f t="shared" si="4"/>
        <v>-1</v>
      </c>
      <c r="AG62" s="83">
        <f t="shared" si="4"/>
        <v>-1</v>
      </c>
      <c r="AH62" s="83">
        <f t="shared" si="4"/>
        <v>-1</v>
      </c>
      <c r="AI62" s="83">
        <f t="shared" si="4"/>
        <v>-1</v>
      </c>
      <c r="AJ62" s="83">
        <f t="shared" si="4"/>
        <v>-1</v>
      </c>
      <c r="AK62" s="83">
        <f t="shared" si="4"/>
        <v>-1</v>
      </c>
      <c r="AL62" s="83">
        <f t="shared" si="4"/>
        <v>-1</v>
      </c>
      <c r="AM62" s="83">
        <f t="shared" si="4"/>
        <v>-1</v>
      </c>
      <c r="AN62" s="83">
        <f t="shared" si="4"/>
        <v>-1</v>
      </c>
      <c r="AO62" s="83">
        <f t="shared" si="4"/>
        <v>-1</v>
      </c>
      <c r="AP62" s="83">
        <f t="shared" si="4"/>
        <v>-1</v>
      </c>
      <c r="AQ62" s="83">
        <f t="shared" si="4"/>
        <v>-1</v>
      </c>
      <c r="AR62" s="83">
        <f t="shared" si="4"/>
        <v>-1</v>
      </c>
      <c r="AS62" s="83">
        <f t="shared" si="4"/>
        <v>-1</v>
      </c>
      <c r="AT62" s="83">
        <f t="shared" si="4"/>
        <v>-1</v>
      </c>
      <c r="AU62" s="83">
        <f t="shared" si="4"/>
        <v>-1</v>
      </c>
      <c r="AV62" s="83">
        <f t="shared" si="4"/>
        <v>-1</v>
      </c>
      <c r="AW62" s="83">
        <f t="shared" si="4"/>
        <v>-1</v>
      </c>
      <c r="AX62" s="83">
        <f t="shared" si="4"/>
        <v>-1</v>
      </c>
      <c r="AY62" s="83">
        <f t="shared" si="4"/>
        <v>-1</v>
      </c>
      <c r="AZ62" s="83">
        <f t="shared" si="4"/>
        <v>-1</v>
      </c>
      <c r="BA62" s="83">
        <f t="shared" si="4"/>
        <v>-1</v>
      </c>
      <c r="BB62" s="83">
        <f t="shared" si="4"/>
        <v>-1</v>
      </c>
      <c r="BC62" s="83">
        <f t="shared" si="4"/>
        <v>-1</v>
      </c>
      <c r="BD62" s="83">
        <f t="shared" si="4"/>
        <v>-1</v>
      </c>
      <c r="BE62" s="83">
        <f t="shared" si="4"/>
        <v>-1</v>
      </c>
      <c r="BF62" s="83">
        <f t="shared" si="4"/>
        <v>-1</v>
      </c>
      <c r="BG62" s="83">
        <f t="shared" si="4"/>
        <v>-1</v>
      </c>
      <c r="BH62" s="83">
        <f t="shared" si="4"/>
        <v>-1</v>
      </c>
      <c r="BI62" s="83">
        <f t="shared" si="4"/>
        <v>-1</v>
      </c>
      <c r="BJ62" s="83">
        <f t="shared" si="4"/>
        <v>-1</v>
      </c>
      <c r="BK62" s="83">
        <f t="shared" si="4"/>
        <v>-1</v>
      </c>
      <c r="BL62" s="83">
        <f t="shared" si="4"/>
        <v>-1</v>
      </c>
      <c r="BM62" s="83">
        <f t="shared" si="4"/>
        <v>-1</v>
      </c>
      <c r="BN62" s="83">
        <f t="shared" si="4"/>
        <v>-1</v>
      </c>
      <c r="BO62" s="83">
        <f aca="true" t="shared" si="5" ref="BO62:DZ62">IF(V_burette&lt;BO60,-1,IF((C_becher*V_becher-C_burette*BO60)&gt;0,((V_becher+V_eau_cond1+BO60)/V_becher+V_eau_cond1)*((($L$5*(C_becher*V_becher-C_burette*BO60))+($X$5*C_burette*BO60+$Q$5*C_becher*V_becher))/(V_becher+V_eau_cond1+BO60)),((V_becher+V_eau_cond1+BO60)/V_becher+V_eau_cond1)*((($U$5*(C_burette*BO60-C_becher*V_becher))+($X$5*C_burette*BO60+$Q$5*C_becher*V_becher))/(V_becher+V_eau_cond1+BO60))))</f>
        <v>-1</v>
      </c>
      <c r="BP62" s="83">
        <f t="shared" si="5"/>
        <v>-1</v>
      </c>
      <c r="BQ62" s="83">
        <f t="shared" si="5"/>
        <v>-1</v>
      </c>
      <c r="BR62" s="83">
        <f t="shared" si="5"/>
        <v>-1</v>
      </c>
      <c r="BS62" s="83">
        <f t="shared" si="5"/>
        <v>-1</v>
      </c>
      <c r="BT62" s="83">
        <f t="shared" si="5"/>
        <v>-1</v>
      </c>
      <c r="BU62" s="83">
        <f t="shared" si="5"/>
        <v>-1</v>
      </c>
      <c r="BV62" s="83">
        <f t="shared" si="5"/>
        <v>-1</v>
      </c>
      <c r="BW62" s="83">
        <f t="shared" si="5"/>
        <v>-1</v>
      </c>
      <c r="BX62" s="83">
        <f t="shared" si="5"/>
        <v>-1</v>
      </c>
      <c r="BY62" s="83">
        <f t="shared" si="5"/>
        <v>-1</v>
      </c>
      <c r="BZ62" s="83">
        <f t="shared" si="5"/>
        <v>-1</v>
      </c>
      <c r="CA62" s="83">
        <f t="shared" si="5"/>
        <v>-1</v>
      </c>
      <c r="CB62" s="83">
        <f t="shared" si="5"/>
        <v>-1</v>
      </c>
      <c r="CC62" s="83">
        <f t="shared" si="5"/>
        <v>-1</v>
      </c>
      <c r="CD62" s="83">
        <f t="shared" si="5"/>
        <v>-1</v>
      </c>
      <c r="CE62" s="83">
        <f t="shared" si="5"/>
        <v>-1</v>
      </c>
      <c r="CF62" s="83">
        <f t="shared" si="5"/>
        <v>-1</v>
      </c>
      <c r="CG62" s="83">
        <f t="shared" si="5"/>
        <v>-1</v>
      </c>
      <c r="CH62" s="83">
        <f t="shared" si="5"/>
        <v>-1</v>
      </c>
      <c r="CI62" s="83">
        <f t="shared" si="5"/>
        <v>-1</v>
      </c>
      <c r="CJ62" s="83">
        <f t="shared" si="5"/>
        <v>-1</v>
      </c>
      <c r="CK62" s="83">
        <f t="shared" si="5"/>
        <v>-1</v>
      </c>
      <c r="CL62" s="83">
        <f t="shared" si="5"/>
        <v>-1</v>
      </c>
      <c r="CM62" s="83">
        <f t="shared" si="5"/>
        <v>-1</v>
      </c>
      <c r="CN62" s="83">
        <f t="shared" si="5"/>
        <v>-1</v>
      </c>
      <c r="CO62" s="83">
        <f t="shared" si="5"/>
        <v>-1</v>
      </c>
      <c r="CP62" s="83">
        <f t="shared" si="5"/>
        <v>-1</v>
      </c>
      <c r="CQ62" s="83">
        <f t="shared" si="5"/>
        <v>-1</v>
      </c>
      <c r="CR62" s="83">
        <f t="shared" si="5"/>
        <v>-1</v>
      </c>
      <c r="CS62" s="83">
        <f t="shared" si="5"/>
        <v>-1</v>
      </c>
      <c r="CT62" s="83">
        <f t="shared" si="5"/>
        <v>-1</v>
      </c>
      <c r="CU62" s="83">
        <f t="shared" si="5"/>
        <v>-1</v>
      </c>
      <c r="CV62" s="83">
        <f t="shared" si="5"/>
        <v>-1</v>
      </c>
      <c r="CW62" s="83">
        <f t="shared" si="5"/>
        <v>-1</v>
      </c>
      <c r="CX62" s="83">
        <f t="shared" si="5"/>
        <v>-1</v>
      </c>
      <c r="CY62" s="83">
        <f t="shared" si="5"/>
        <v>-1</v>
      </c>
      <c r="CZ62" s="83">
        <f t="shared" si="5"/>
        <v>-1</v>
      </c>
      <c r="DA62" s="83">
        <f t="shared" si="5"/>
        <v>-1</v>
      </c>
      <c r="DB62" s="83">
        <f t="shared" si="5"/>
        <v>-1</v>
      </c>
      <c r="DC62" s="83">
        <f t="shared" si="5"/>
        <v>-1</v>
      </c>
      <c r="DD62" s="83">
        <f t="shared" si="5"/>
        <v>-1</v>
      </c>
      <c r="DE62" s="83">
        <f t="shared" si="5"/>
        <v>-1</v>
      </c>
      <c r="DF62" s="83">
        <f t="shared" si="5"/>
        <v>-1</v>
      </c>
      <c r="DG62" s="83">
        <f t="shared" si="5"/>
        <v>-1</v>
      </c>
      <c r="DH62" s="83">
        <f t="shared" si="5"/>
        <v>-1</v>
      </c>
      <c r="DI62" s="83">
        <f t="shared" si="5"/>
        <v>-1</v>
      </c>
      <c r="DJ62" s="83">
        <f t="shared" si="5"/>
        <v>-1</v>
      </c>
      <c r="DK62" s="83">
        <f t="shared" si="5"/>
        <v>-1</v>
      </c>
      <c r="DL62" s="83">
        <f t="shared" si="5"/>
        <v>-1</v>
      </c>
      <c r="DM62" s="83">
        <f t="shared" si="5"/>
        <v>-1</v>
      </c>
      <c r="DN62" s="83">
        <f t="shared" si="5"/>
        <v>-1</v>
      </c>
      <c r="DO62" s="83">
        <f t="shared" si="5"/>
        <v>-1</v>
      </c>
      <c r="DP62" s="83">
        <f t="shared" si="5"/>
        <v>-1</v>
      </c>
      <c r="DQ62" s="83">
        <f t="shared" si="5"/>
        <v>-1</v>
      </c>
      <c r="DR62" s="83">
        <f t="shared" si="5"/>
        <v>-1</v>
      </c>
      <c r="DS62" s="83">
        <f t="shared" si="5"/>
        <v>-1</v>
      </c>
      <c r="DT62" s="83">
        <f t="shared" si="5"/>
        <v>-1</v>
      </c>
      <c r="DU62" s="83">
        <f t="shared" si="5"/>
        <v>-1</v>
      </c>
      <c r="DV62" s="83">
        <f t="shared" si="5"/>
        <v>-1</v>
      </c>
      <c r="DW62" s="83">
        <f t="shared" si="5"/>
        <v>-1</v>
      </c>
      <c r="DX62" s="83">
        <f t="shared" si="5"/>
        <v>-1</v>
      </c>
      <c r="DY62" s="83">
        <f t="shared" si="5"/>
        <v>-1</v>
      </c>
      <c r="DZ62" s="83">
        <f t="shared" si="5"/>
        <v>-1</v>
      </c>
      <c r="EA62" s="83">
        <f aca="true" t="shared" si="6" ref="EA62:GL62">IF(V_burette&lt;EA60,-1,IF((C_becher*V_becher-C_burette*EA60)&gt;0,((V_becher+V_eau_cond1+EA60)/V_becher+V_eau_cond1)*((($L$5*(C_becher*V_becher-C_burette*EA60))+($X$5*C_burette*EA60+$Q$5*C_becher*V_becher))/(V_becher+V_eau_cond1+EA60)),((V_becher+V_eau_cond1+EA60)/V_becher+V_eau_cond1)*((($U$5*(C_burette*EA60-C_becher*V_becher))+($X$5*C_burette*EA60+$Q$5*C_becher*V_becher))/(V_becher+V_eau_cond1+EA60))))</f>
        <v>-1</v>
      </c>
      <c r="EB62" s="83">
        <f t="shared" si="6"/>
        <v>-1</v>
      </c>
      <c r="EC62" s="83">
        <f t="shared" si="6"/>
        <v>-1</v>
      </c>
      <c r="ED62" s="83">
        <f t="shared" si="6"/>
        <v>-1</v>
      </c>
      <c r="EE62" s="83">
        <f t="shared" si="6"/>
        <v>-1</v>
      </c>
      <c r="EF62" s="83">
        <f t="shared" si="6"/>
        <v>-1</v>
      </c>
      <c r="EG62" s="83">
        <f t="shared" si="6"/>
        <v>-1</v>
      </c>
      <c r="EH62" s="83">
        <f t="shared" si="6"/>
        <v>-1</v>
      </c>
      <c r="EI62" s="83">
        <f t="shared" si="6"/>
        <v>-1</v>
      </c>
      <c r="EJ62" s="83">
        <f t="shared" si="6"/>
        <v>-1</v>
      </c>
      <c r="EK62" s="83">
        <f t="shared" si="6"/>
        <v>-1</v>
      </c>
      <c r="EL62" s="83">
        <f t="shared" si="6"/>
        <v>-1</v>
      </c>
      <c r="EM62" s="83">
        <f t="shared" si="6"/>
        <v>-1</v>
      </c>
      <c r="EN62" s="83">
        <f t="shared" si="6"/>
        <v>-1</v>
      </c>
      <c r="EO62" s="83">
        <f t="shared" si="6"/>
        <v>-1</v>
      </c>
      <c r="EP62" s="83">
        <f t="shared" si="6"/>
        <v>-1</v>
      </c>
      <c r="EQ62" s="83">
        <f t="shared" si="6"/>
        <v>-1</v>
      </c>
      <c r="ER62" s="83">
        <f t="shared" si="6"/>
        <v>-1</v>
      </c>
      <c r="ES62" s="83">
        <f t="shared" si="6"/>
        <v>-1</v>
      </c>
      <c r="ET62" s="83">
        <f t="shared" si="6"/>
        <v>-1</v>
      </c>
      <c r="EU62" s="83">
        <f t="shared" si="6"/>
        <v>-1</v>
      </c>
      <c r="EV62" s="83">
        <f t="shared" si="6"/>
        <v>-1</v>
      </c>
      <c r="EW62" s="83">
        <f t="shared" si="6"/>
        <v>-1</v>
      </c>
      <c r="EX62" s="83">
        <f t="shared" si="6"/>
        <v>-1</v>
      </c>
      <c r="EY62" s="83">
        <f t="shared" si="6"/>
        <v>-1</v>
      </c>
      <c r="EZ62" s="83">
        <f t="shared" si="6"/>
        <v>-1</v>
      </c>
      <c r="FA62" s="83">
        <f t="shared" si="6"/>
        <v>-1</v>
      </c>
      <c r="FB62" s="83">
        <f t="shared" si="6"/>
        <v>-1</v>
      </c>
      <c r="FC62" s="83">
        <f t="shared" si="6"/>
        <v>-1</v>
      </c>
      <c r="FD62" s="83">
        <f t="shared" si="6"/>
        <v>-1</v>
      </c>
      <c r="FE62" s="83">
        <f t="shared" si="6"/>
        <v>-1</v>
      </c>
      <c r="FF62" s="83">
        <f t="shared" si="6"/>
        <v>-1</v>
      </c>
      <c r="FG62" s="83">
        <f t="shared" si="6"/>
        <v>-1</v>
      </c>
      <c r="FH62" s="83">
        <f t="shared" si="6"/>
        <v>-1</v>
      </c>
      <c r="FI62" s="83">
        <f t="shared" si="6"/>
        <v>-1</v>
      </c>
      <c r="FJ62" s="83">
        <f t="shared" si="6"/>
        <v>-1</v>
      </c>
      <c r="FK62" s="83">
        <f t="shared" si="6"/>
        <v>-1</v>
      </c>
      <c r="FL62" s="83">
        <f t="shared" si="6"/>
        <v>-1</v>
      </c>
      <c r="FM62" s="83">
        <f t="shared" si="6"/>
        <v>-1</v>
      </c>
      <c r="FN62" s="83">
        <f t="shared" si="6"/>
        <v>-1</v>
      </c>
      <c r="FO62" s="83">
        <f t="shared" si="6"/>
        <v>-1</v>
      </c>
      <c r="FP62" s="83">
        <f t="shared" si="6"/>
        <v>-1</v>
      </c>
      <c r="FQ62" s="83">
        <f t="shared" si="6"/>
        <v>-1</v>
      </c>
      <c r="FR62" s="83">
        <f t="shared" si="6"/>
        <v>-1</v>
      </c>
      <c r="FS62" s="83">
        <f t="shared" si="6"/>
        <v>-1</v>
      </c>
      <c r="FT62" s="83">
        <f t="shared" si="6"/>
        <v>-1</v>
      </c>
      <c r="FU62" s="83">
        <f t="shared" si="6"/>
        <v>-1</v>
      </c>
      <c r="FV62" s="83">
        <f t="shared" si="6"/>
        <v>-1</v>
      </c>
      <c r="FW62" s="83">
        <f t="shared" si="6"/>
        <v>-1</v>
      </c>
      <c r="FX62" s="83">
        <f t="shared" si="6"/>
        <v>-1</v>
      </c>
      <c r="FY62" s="83">
        <f t="shared" si="6"/>
        <v>-1</v>
      </c>
      <c r="FZ62" s="83">
        <f t="shared" si="6"/>
        <v>-1</v>
      </c>
      <c r="GA62" s="83">
        <f t="shared" si="6"/>
        <v>-1</v>
      </c>
      <c r="GB62" s="83">
        <f t="shared" si="6"/>
        <v>-1</v>
      </c>
      <c r="GC62" s="83">
        <f t="shared" si="6"/>
        <v>-1</v>
      </c>
      <c r="GD62" s="83">
        <f t="shared" si="6"/>
        <v>-1</v>
      </c>
      <c r="GE62" s="83">
        <f t="shared" si="6"/>
        <v>-1</v>
      </c>
      <c r="GF62" s="83">
        <f t="shared" si="6"/>
        <v>-1</v>
      </c>
      <c r="GG62" s="83">
        <f t="shared" si="6"/>
        <v>-1</v>
      </c>
      <c r="GH62" s="83">
        <f t="shared" si="6"/>
        <v>-1</v>
      </c>
      <c r="GI62" s="83">
        <f t="shared" si="6"/>
        <v>-1</v>
      </c>
      <c r="GJ62" s="83">
        <f t="shared" si="6"/>
        <v>-1</v>
      </c>
      <c r="GK62" s="83">
        <f t="shared" si="6"/>
        <v>-1</v>
      </c>
      <c r="GL62" s="83">
        <f t="shared" si="6"/>
        <v>-1</v>
      </c>
      <c r="GM62" s="83">
        <f aca="true" t="shared" si="7" ref="GM62:IS62">IF(V_burette&lt;GM60,-1,IF((C_becher*V_becher-C_burette*GM60)&gt;0,((V_becher+V_eau_cond1+GM60)/V_becher+V_eau_cond1)*((($L$5*(C_becher*V_becher-C_burette*GM60))+($X$5*C_burette*GM60+$Q$5*C_becher*V_becher))/(V_becher+V_eau_cond1+GM60)),((V_becher+V_eau_cond1+GM60)/V_becher+V_eau_cond1)*((($U$5*(C_burette*GM60-C_becher*V_becher))+($X$5*C_burette*GM60+$Q$5*C_becher*V_becher))/(V_becher+V_eau_cond1+GM60))))</f>
        <v>-1</v>
      </c>
      <c r="GN62" s="83">
        <f t="shared" si="7"/>
        <v>-1</v>
      </c>
      <c r="GO62" s="83">
        <f t="shared" si="7"/>
        <v>-1</v>
      </c>
      <c r="GP62" s="83">
        <f t="shared" si="7"/>
        <v>-1</v>
      </c>
      <c r="GQ62" s="83">
        <f t="shared" si="7"/>
        <v>-1</v>
      </c>
      <c r="GR62" s="83">
        <f t="shared" si="7"/>
        <v>-1</v>
      </c>
      <c r="GS62" s="83">
        <f t="shared" si="7"/>
        <v>-1</v>
      </c>
      <c r="GT62" s="83">
        <f t="shared" si="7"/>
        <v>-1</v>
      </c>
      <c r="GU62" s="83">
        <f t="shared" si="7"/>
        <v>-1</v>
      </c>
      <c r="GV62" s="83">
        <f t="shared" si="7"/>
        <v>-1</v>
      </c>
      <c r="GW62" s="83">
        <f t="shared" si="7"/>
        <v>-1</v>
      </c>
      <c r="GX62" s="83">
        <f t="shared" si="7"/>
        <v>-1</v>
      </c>
      <c r="GY62" s="83">
        <f t="shared" si="7"/>
        <v>-1</v>
      </c>
      <c r="GZ62" s="83">
        <f t="shared" si="7"/>
        <v>-1</v>
      </c>
      <c r="HA62" s="83">
        <f t="shared" si="7"/>
        <v>-1</v>
      </c>
      <c r="HB62" s="83">
        <f t="shared" si="7"/>
        <v>-1</v>
      </c>
      <c r="HC62" s="83">
        <f t="shared" si="7"/>
        <v>-1</v>
      </c>
      <c r="HD62" s="83">
        <f t="shared" si="7"/>
        <v>-1</v>
      </c>
      <c r="HE62" s="83">
        <f t="shared" si="7"/>
        <v>-1</v>
      </c>
      <c r="HF62" s="83">
        <f t="shared" si="7"/>
        <v>-1</v>
      </c>
      <c r="HG62" s="83">
        <f t="shared" si="7"/>
        <v>-1</v>
      </c>
      <c r="HH62" s="83">
        <f t="shared" si="7"/>
        <v>-1</v>
      </c>
      <c r="HI62" s="83">
        <f t="shared" si="7"/>
        <v>-1</v>
      </c>
      <c r="HJ62" s="83">
        <f t="shared" si="7"/>
        <v>-1</v>
      </c>
      <c r="HK62" s="83">
        <f t="shared" si="7"/>
        <v>-1</v>
      </c>
      <c r="HL62" s="83">
        <f t="shared" si="7"/>
        <v>-1</v>
      </c>
      <c r="HM62" s="83">
        <f t="shared" si="7"/>
        <v>-1</v>
      </c>
      <c r="HN62" s="83">
        <f t="shared" si="7"/>
        <v>-1</v>
      </c>
      <c r="HO62" s="83">
        <f t="shared" si="7"/>
        <v>-1</v>
      </c>
      <c r="HP62" s="83">
        <f t="shared" si="7"/>
        <v>-1</v>
      </c>
      <c r="HQ62" s="83">
        <f t="shared" si="7"/>
        <v>-1</v>
      </c>
      <c r="HR62" s="83">
        <f t="shared" si="7"/>
        <v>-1</v>
      </c>
      <c r="HS62" s="83">
        <f t="shared" si="7"/>
        <v>-1</v>
      </c>
      <c r="HT62" s="83">
        <f t="shared" si="7"/>
        <v>-1</v>
      </c>
      <c r="HU62" s="83">
        <f t="shared" si="7"/>
        <v>-1</v>
      </c>
      <c r="HV62" s="83">
        <f t="shared" si="7"/>
        <v>-1</v>
      </c>
      <c r="HW62" s="83">
        <f t="shared" si="7"/>
        <v>-1</v>
      </c>
      <c r="HX62" s="83">
        <f t="shared" si="7"/>
        <v>-1</v>
      </c>
      <c r="HY62" s="83">
        <f t="shared" si="7"/>
        <v>-1</v>
      </c>
      <c r="HZ62" s="83">
        <f t="shared" si="7"/>
        <v>-1</v>
      </c>
      <c r="IA62" s="83">
        <f t="shared" si="7"/>
        <v>-1</v>
      </c>
      <c r="IB62" s="83">
        <f t="shared" si="7"/>
        <v>-1</v>
      </c>
      <c r="IC62" s="83">
        <f t="shared" si="7"/>
        <v>-1</v>
      </c>
      <c r="ID62" s="83">
        <f t="shared" si="7"/>
        <v>-1</v>
      </c>
      <c r="IE62" s="83">
        <f t="shared" si="7"/>
        <v>-1</v>
      </c>
      <c r="IF62" s="83">
        <f t="shared" si="7"/>
        <v>-1</v>
      </c>
      <c r="IG62" s="83">
        <f t="shared" si="7"/>
        <v>-1</v>
      </c>
      <c r="IH62" s="83">
        <f t="shared" si="7"/>
        <v>-1</v>
      </c>
      <c r="II62" s="83">
        <f t="shared" si="7"/>
        <v>-1</v>
      </c>
      <c r="IJ62" s="83">
        <f t="shared" si="7"/>
        <v>-1</v>
      </c>
      <c r="IK62" s="83">
        <f t="shared" si="7"/>
        <v>-1</v>
      </c>
      <c r="IL62" s="83">
        <f t="shared" si="7"/>
        <v>-1</v>
      </c>
      <c r="IM62" s="83">
        <f t="shared" si="7"/>
        <v>-1</v>
      </c>
      <c r="IN62" s="83">
        <f t="shared" si="7"/>
        <v>-1</v>
      </c>
      <c r="IO62" s="83">
        <f t="shared" si="7"/>
        <v>-1</v>
      </c>
      <c r="IP62" s="83">
        <f t="shared" si="7"/>
        <v>-1</v>
      </c>
      <c r="IQ62" s="83">
        <f t="shared" si="7"/>
        <v>-1</v>
      </c>
      <c r="IR62" s="83">
        <f t="shared" si="7"/>
        <v>-1</v>
      </c>
      <c r="IS62" s="83">
        <f t="shared" si="7"/>
        <v>-1</v>
      </c>
    </row>
  </sheetData>
  <conditionalFormatting sqref="K12:O12">
    <cfRule type="cellIs" priority="1" dxfId="0" operator="notEqual" stopIfTrue="1">
      <formula>$L$13</formula>
    </cfRule>
  </conditionalFormatting>
  <conditionalFormatting sqref="H10">
    <cfRule type="expression" priority="2" dxfId="1" stopIfTrue="1">
      <formula>$H$10="Xmax"</formula>
    </cfRule>
  </conditionalFormatting>
  <conditionalFormatting sqref="S10:T10">
    <cfRule type="expression" priority="3" dxfId="1" stopIfTrue="1">
      <formula>$T$10="Xmax="</formula>
    </cfRule>
  </conditionalFormatting>
  <conditionalFormatting sqref="O10:P10">
    <cfRule type="expression" priority="4" dxfId="1" stopIfTrue="1">
      <formula>$O$10=2&amp;" Xmax="</formula>
    </cfRule>
  </conditionalFormatting>
  <conditionalFormatting sqref="W10">
    <cfRule type="expression" priority="5" dxfId="1" stopIfTrue="1">
      <formula>$W$10="Xmax="</formula>
    </cfRule>
  </conditionalFormatting>
  <conditionalFormatting sqref="B11">
    <cfRule type="expression" priority="6" dxfId="1" stopIfTrue="1">
      <formula>$B$11=K8/J3</formula>
    </cfRule>
  </conditionalFormatting>
  <conditionalFormatting sqref="A11">
    <cfRule type="expression" priority="7" dxfId="1" stopIfTrue="1">
      <formula>$B$11=K8/J3</formula>
    </cfRule>
  </conditionalFormatting>
  <printOptions/>
  <pageMargins left="0.75" right="0.75" top="1" bottom="1" header="0.4921259845" footer="0.4921259845"/>
  <pageSetup orientation="landscape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11"/>
  <dimension ref="A1:AB58"/>
  <sheetViews>
    <sheetView showGridLines="0" showRowColHeaders="0" workbookViewId="0" topLeftCell="A1">
      <selection activeCell="A3" sqref="A3"/>
    </sheetView>
  </sheetViews>
  <sheetFormatPr defaultColWidth="11.421875" defaultRowHeight="12.75"/>
  <cols>
    <col min="1" max="1" width="9.7109375" style="0" customWidth="1"/>
    <col min="2" max="2" width="4.00390625" style="0" customWidth="1"/>
    <col min="3" max="3" width="7.140625" style="0" customWidth="1"/>
    <col min="4" max="4" width="7.00390625" style="0" customWidth="1"/>
    <col min="5" max="5" width="0.85546875" style="0" customWidth="1"/>
    <col min="6" max="6" width="1.7109375" style="0" customWidth="1"/>
    <col min="7" max="7" width="4.00390625" style="0" customWidth="1"/>
    <col min="8" max="8" width="1.421875" style="0" customWidth="1"/>
    <col min="9" max="9" width="4.8515625" style="0" customWidth="1"/>
    <col min="10" max="10" width="11.28125" style="0" customWidth="1"/>
    <col min="11" max="11" width="7.140625" style="0" customWidth="1"/>
    <col min="12" max="12" width="0.85546875" style="0" customWidth="1"/>
    <col min="13" max="13" width="0.2890625" style="0" customWidth="1"/>
    <col min="14" max="14" width="3.8515625" style="0" customWidth="1"/>
    <col min="15" max="15" width="2.28125" style="0" customWidth="1"/>
    <col min="16" max="16" width="11.28125" style="0" customWidth="1"/>
    <col min="17" max="17" width="0.2890625" style="0" customWidth="1"/>
    <col min="18" max="18" width="2.28125" style="0" customWidth="1"/>
    <col min="19" max="19" width="4.28125" style="0" customWidth="1"/>
    <col min="20" max="20" width="9.8515625" style="0" customWidth="1"/>
    <col min="21" max="21" width="1.7109375" style="0" customWidth="1"/>
    <col min="22" max="22" width="4.7109375" style="0" customWidth="1"/>
    <col min="23" max="23" width="12.00390625" style="0" customWidth="1"/>
    <col min="25" max="26" width="11.421875" style="6" customWidth="1"/>
  </cols>
  <sheetData>
    <row r="1" spans="1:24" ht="25.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423"/>
      <c r="U1" s="6"/>
      <c r="V1" s="6"/>
      <c r="W1" s="6"/>
      <c r="X1" s="6"/>
    </row>
    <row r="2" spans="1:24" ht="15.75" customHeight="1">
      <c r="A2" s="6"/>
      <c r="B2" s="7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12"/>
      <c r="Q2" s="12"/>
      <c r="R2" s="12"/>
      <c r="T2" s="19"/>
      <c r="U2" s="6"/>
      <c r="V2" s="20"/>
      <c r="X2" s="6"/>
    </row>
    <row r="3" spans="1:26" ht="0.75" customHeight="1">
      <c r="A3" s="77">
        <v>0</v>
      </c>
      <c r="B3" s="106">
        <f>IF(C3&lt;D3,C3,D3)</f>
        <v>0</v>
      </c>
      <c r="C3" s="14">
        <f>'dosage d'oxydo-réduction (2)'!val_compteur_avancement</f>
        <v>0</v>
      </c>
      <c r="D3" s="13">
        <f>'dosage d'oxydo-réduction (2)'!C_becher*'dosage d'oxydo-réduction (2)'!V_becher*coef_réact_2*100/('dosage d'oxydo-réduction (2)'!C_burette*'Avancement_ (2)'!coef_réact_1)</f>
        <v>1400</v>
      </c>
      <c r="E3" s="13"/>
      <c r="F3" s="13"/>
      <c r="G3" s="13"/>
      <c r="H3" s="13"/>
      <c r="I3" s="28">
        <v>1</v>
      </c>
      <c r="J3" s="13">
        <v>193</v>
      </c>
      <c r="K3" s="13"/>
      <c r="L3" s="13"/>
      <c r="M3" s="13"/>
      <c r="N3" s="13"/>
      <c r="O3" s="14">
        <v>2</v>
      </c>
      <c r="P3" s="13">
        <v>1</v>
      </c>
      <c r="Q3" s="14">
        <f>IF(ISBLANK(S6),1,S6)</f>
        <v>2</v>
      </c>
      <c r="R3" s="13"/>
      <c r="S3" s="28">
        <v>2</v>
      </c>
      <c r="T3" s="13"/>
      <c r="U3" s="13"/>
      <c r="V3" s="28">
        <v>1</v>
      </c>
      <c r="W3" s="13"/>
      <c r="X3" s="13">
        <v>0</v>
      </c>
      <c r="Y3" s="13">
        <f>C8</f>
        <v>0</v>
      </c>
      <c r="Z3" s="383">
        <f>N_init_réactif_1</f>
        <v>0.0007000000000000001</v>
      </c>
    </row>
    <row r="4" spans="1:26" ht="0.75" customHeight="1">
      <c r="A4" s="77"/>
      <c r="B4" s="21"/>
      <c r="C4" s="13"/>
      <c r="D4" s="74"/>
      <c r="E4" s="13"/>
      <c r="F4" s="13"/>
      <c r="G4" s="13"/>
      <c r="H4" s="13"/>
      <c r="I4" s="22"/>
      <c r="J4" s="13"/>
      <c r="K4" s="13"/>
      <c r="L4" s="13"/>
      <c r="M4" s="13"/>
      <c r="N4" s="13"/>
      <c r="O4" s="14"/>
      <c r="P4" s="13"/>
      <c r="Q4" s="13"/>
      <c r="R4" s="13"/>
      <c r="S4" s="13"/>
      <c r="T4" s="13"/>
      <c r="U4" s="13"/>
      <c r="V4" s="13"/>
      <c r="W4" s="13"/>
      <c r="X4" s="26">
        <f>'dosage d''oxydo-réduction (2)'!B9</f>
        <v>0</v>
      </c>
      <c r="Y4" s="390">
        <f>C9</f>
        <v>0</v>
      </c>
      <c r="Z4" s="383">
        <f>Z3*1.1</f>
        <v>0.0007700000000000002</v>
      </c>
    </row>
    <row r="5" spans="1:26" ht="0.75" customHeight="1" thickBot="1">
      <c r="A5" s="76"/>
      <c r="B5" s="50"/>
      <c r="C5" s="51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3"/>
      <c r="V5" s="53"/>
      <c r="W5" s="53"/>
      <c r="X5" s="13">
        <f>C3/100</f>
        <v>0</v>
      </c>
      <c r="Y5" s="60">
        <f>Avancement</f>
        <v>0</v>
      </c>
      <c r="Z5"/>
    </row>
    <row r="6" spans="1:28" ht="15" customHeight="1" thickBot="1">
      <c r="A6" s="300" t="s">
        <v>0</v>
      </c>
      <c r="B6" s="301"/>
      <c r="C6" s="301"/>
      <c r="D6" s="302"/>
      <c r="E6" s="302"/>
      <c r="F6" s="302"/>
      <c r="G6" s="302"/>
      <c r="H6" s="302"/>
      <c r="I6" s="303">
        <f>IF(coef_réact_1=1,"",coef_réact_1)</f>
      </c>
      <c r="J6" s="286" t="s">
        <v>21</v>
      </c>
      <c r="K6" s="304" t="s">
        <v>6</v>
      </c>
      <c r="L6" s="304"/>
      <c r="M6" s="302"/>
      <c r="N6" s="302"/>
      <c r="O6" s="303">
        <f>coef_réact_2</f>
        <v>2</v>
      </c>
      <c r="P6" s="286" t="s">
        <v>22</v>
      </c>
      <c r="Q6" s="305"/>
      <c r="R6" s="291" t="s">
        <v>12</v>
      </c>
      <c r="S6" s="306">
        <f>coef_prod1</f>
        <v>2</v>
      </c>
      <c r="T6" s="286" t="s">
        <v>24</v>
      </c>
      <c r="U6" s="302">
        <f>IF(ISBLANK(produit_2),"","+")</f>
      </c>
      <c r="V6" s="308">
        <f>IF(coef_prod2=1,"",coef_prod2)</f>
      </c>
      <c r="W6" s="310" t="s">
        <v>26</v>
      </c>
      <c r="X6" s="59"/>
      <c r="AA6" t="str">
        <f>IF(J6="I2(aq)","I2(aq)","Fe2+")</f>
        <v>I2(aq)</v>
      </c>
      <c r="AB6" t="str">
        <f>IF(W6="S4O62-(aq)","S4O62-(aq)","Mn2+")</f>
        <v>S4O62-(aq)</v>
      </c>
    </row>
    <row r="7" spans="1:24" ht="14.25" customHeight="1">
      <c r="A7" s="82" t="s">
        <v>1</v>
      </c>
      <c r="B7" s="252" t="s">
        <v>11</v>
      </c>
      <c r="C7" s="257"/>
      <c r="D7" s="160"/>
      <c r="E7" s="161"/>
      <c r="F7" s="161"/>
      <c r="G7" s="161"/>
      <c r="H7" s="163">
        <f>nom_réactif1</f>
        <v>0</v>
      </c>
      <c r="I7" s="161" t="s">
        <v>27</v>
      </c>
      <c r="J7" s="164"/>
      <c r="K7" s="243" t="s">
        <v>36</v>
      </c>
      <c r="L7" s="211"/>
      <c r="M7" s="211"/>
      <c r="N7" s="243"/>
      <c r="O7" s="229"/>
      <c r="P7" s="212"/>
      <c r="Q7" s="183"/>
      <c r="R7" s="57" t="s">
        <v>29</v>
      </c>
      <c r="S7" s="143"/>
      <c r="T7" s="58"/>
      <c r="U7" s="231" t="s">
        <v>34</v>
      </c>
      <c r="V7" s="188"/>
      <c r="W7" s="189"/>
      <c r="X7" s="6"/>
    </row>
    <row r="8" spans="1:24" ht="11.25" customHeight="1">
      <c r="A8" s="29" t="s">
        <v>2</v>
      </c>
      <c r="B8" s="258" t="s">
        <v>5</v>
      </c>
      <c r="C8" s="259">
        <v>0</v>
      </c>
      <c r="D8" s="165"/>
      <c r="E8" s="166"/>
      <c r="F8" s="166"/>
      <c r="G8" s="167"/>
      <c r="H8" s="167"/>
      <c r="I8" s="168"/>
      <c r="J8" s="169">
        <f>'dosage d'oxydo-réduction (2)'!N_init_réactif_1</f>
        <v>0.0007000000000000001</v>
      </c>
      <c r="K8" s="213"/>
      <c r="L8" s="214"/>
      <c r="M8" s="214"/>
      <c r="N8" s="214"/>
      <c r="O8" s="215"/>
      <c r="P8" s="216">
        <f>'dosage d'oxydo-réduction (2)'!N_init_réactif_2</f>
        <v>0</v>
      </c>
      <c r="Q8" s="184"/>
      <c r="R8" s="43"/>
      <c r="S8" s="44"/>
      <c r="T8" s="45">
        <v>0</v>
      </c>
      <c r="U8" s="190"/>
      <c r="V8" s="191"/>
      <c r="W8" s="192">
        <v>0</v>
      </c>
      <c r="X8" s="6"/>
    </row>
    <row r="9" spans="1:24" ht="0.75" customHeight="1">
      <c r="A9" s="30"/>
      <c r="B9" s="256" t="str">
        <f>B10</f>
        <v>               Xm=</v>
      </c>
      <c r="C9" s="260">
        <f>IF(J10&gt;0,C10,N_init_réactif_1/coef_réact_1)</f>
        <v>0</v>
      </c>
      <c r="D9" s="170">
        <f>D10</f>
        <v>0.0007000000000000001</v>
      </c>
      <c r="E9" s="171" t="str">
        <f>E10</f>
        <v>-</v>
      </c>
      <c r="F9" s="172">
        <f>F10</f>
      </c>
      <c r="G9" s="173" t="str">
        <f>G10</f>
        <v>Xm =</v>
      </c>
      <c r="H9" s="168">
        <f>H10</f>
        <v>0</v>
      </c>
      <c r="I9" s="168"/>
      <c r="J9" s="174">
        <f>J10</f>
        <v>0.0007000000000000001</v>
      </c>
      <c r="K9" s="217"/>
      <c r="L9" s="218"/>
      <c r="M9" s="218"/>
      <c r="N9" s="218"/>
      <c r="O9" s="230"/>
      <c r="P9" s="220">
        <v>0</v>
      </c>
      <c r="Q9" s="184"/>
      <c r="R9" s="46"/>
      <c r="S9" s="47"/>
      <c r="T9" s="48">
        <f>T10</f>
        <v>0</v>
      </c>
      <c r="U9" s="193"/>
      <c r="V9" s="193"/>
      <c r="W9" s="194">
        <f>W10</f>
        <v>0</v>
      </c>
      <c r="X9" s="6"/>
    </row>
    <row r="10" spans="1:24" ht="19.5" customHeight="1" thickBot="1">
      <c r="A10" s="69" t="s">
        <v>3</v>
      </c>
      <c r="B10" s="261" t="s">
        <v>52</v>
      </c>
      <c r="C10" s="262">
        <f>(val_compteur_avancement*'dosage d'oxydo-réduction (2)'!C_burette/'Avancement_ (2)'!coef_réact_2)/100000</f>
        <v>0</v>
      </c>
      <c r="D10" s="175">
        <f>J8</f>
        <v>0.0007000000000000001</v>
      </c>
      <c r="E10" s="176" t="s">
        <v>7</v>
      </c>
      <c r="F10" s="177">
        <f>IF(coef_réact_1=1,"",coef_réact_1)</f>
      </c>
      <c r="G10" s="178" t="str">
        <f>IF(J10&gt;0,"Xm =","Xmax =")</f>
        <v>Xm =</v>
      </c>
      <c r="H10" s="179"/>
      <c r="I10" s="179"/>
      <c r="J10" s="180">
        <f>'dosage d''oxydo-réduction (2)'!$K$10</f>
        <v>0.0007000000000000001</v>
      </c>
      <c r="K10" s="221">
        <f>N_init_réactif_2</f>
        <v>0</v>
      </c>
      <c r="L10" s="222" t="s">
        <v>7</v>
      </c>
      <c r="M10" s="89"/>
      <c r="N10" s="223" t="str">
        <f>IF(J10&gt;0,IF(coef_réact_2=1,"Xm =",coef_réact_2&amp;" Xm ="),IF(coef_réact_2=1," Xmax=",coef_réact_2&amp;" Xmax="))</f>
        <v>2 Xm =</v>
      </c>
      <c r="O10" s="224"/>
      <c r="P10" s="225">
        <f>IF(J10&gt;0,0,ABS(N_init_réactif_2-(C11*coef_réact_2)))</f>
        <v>0</v>
      </c>
      <c r="Q10" s="185"/>
      <c r="R10" s="4">
        <f>IF(coef_prod1=1,"",coef_prod1)</f>
        <v>2</v>
      </c>
      <c r="S10" s="405" t="str">
        <f>IF(J10&gt;0,"Xm =","Xmax=")</f>
        <v>Xm =</v>
      </c>
      <c r="T10" s="27">
        <f>IF(J10&gt;0,Avancement*coef_prod1,X_equiv*coef_prod1)</f>
        <v>0</v>
      </c>
      <c r="U10" s="195">
        <f>IF(coef_prod2=1,"",coef_prod2)</f>
      </c>
      <c r="V10" s="415" t="str">
        <f>IF(J10&gt;0,"Xm =","Xmax=")</f>
        <v>Xm =</v>
      </c>
      <c r="W10" s="196">
        <f>IF(J10&gt;0,Avancement*coef_prod2,X_equiv*coef_prod2)</f>
        <v>0</v>
      </c>
      <c r="X10" s="90"/>
    </row>
    <row r="11" spans="1:24" ht="12" customHeight="1" thickBot="1">
      <c r="A11" s="3">
        <f>IF(J10&gt;0,"","Etat final")</f>
      </c>
      <c r="B11" s="414">
        <f>IF(J10&gt;0,"","Xmax=")</f>
      </c>
      <c r="C11" s="413">
        <f>IF(J10&gt;0,"",N_init_réactif_1/coef_réact_1)</f>
      </c>
      <c r="D11" s="153">
        <f>IF(J10&gt;0,"",N_init_réactif_1)</f>
      </c>
      <c r="E11" s="151">
        <f>IF(J10&gt;0,"","-")</f>
      </c>
      <c r="F11" s="154">
        <f>IF(OR(ISBLANK(coef_réact_1),coef_réact_1=1,J10&gt;0),"",coef_réact_1)</f>
      </c>
      <c r="G11" s="155">
        <f>IF(J10&gt;0,"","Xmax =")</f>
      </c>
      <c r="H11" s="151"/>
      <c r="I11" s="151"/>
      <c r="J11" s="156">
        <f>IF(J10&gt;0,"",J10)</f>
      </c>
      <c r="K11" s="153">
        <f>IF(J10&gt;0,"",N_init_réactif_2)</f>
      </c>
      <c r="L11" s="151">
        <f>IF(J10&gt;0,"","-")</f>
      </c>
      <c r="M11" s="154">
        <f>IF(OR(ISBLANK(coef_réactif2),coef_réactif2=1,J10&gt;0),"",coef_réactif2)</f>
      </c>
      <c r="N11" s="157">
        <f>IF(J10&gt;0,"",IF(coef_réact_2=1,"Xmax =",coef_réact_2&amp;" Xmax="))</f>
      </c>
      <c r="O11" s="151"/>
      <c r="P11" s="158">
        <f>IF(J10&gt;0,"",P10)</f>
      </c>
      <c r="Q11" s="159"/>
      <c r="R11" s="154">
        <f>IF(OR(ISBLANK(coef_prod1),coef_prod1=1,J10&gt;0),"",coef_prod1)</f>
      </c>
      <c r="S11" s="416">
        <f>IF(J10&gt;0,"","Xmax=")</f>
      </c>
      <c r="T11" s="156">
        <f>IF(J10&gt;0,"",T10)</f>
      </c>
      <c r="U11" s="150">
        <f>IF(OR(ISBLANK(coef_prod2),coef_prod2=1,J10&gt;0),"",coef_prod2)</f>
      </c>
      <c r="V11" s="157">
        <f>IF(J10&gt;0,"","Xmax=")</f>
      </c>
      <c r="W11" s="152">
        <f>IF(J10&gt;0,"",W10)</f>
      </c>
      <c r="X11" s="6"/>
    </row>
    <row r="12" spans="1:24" ht="12.75">
      <c r="A12" s="2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</row>
    <row r="13" spans="1:24" ht="12.7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</row>
    <row r="14" spans="1:24" ht="12.7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</row>
    <row r="15" spans="1:24" ht="12.75">
      <c r="A15" s="6"/>
      <c r="B15" s="6"/>
      <c r="C15" s="6"/>
      <c r="D15" s="6"/>
      <c r="E15" s="6"/>
      <c r="F15" s="6"/>
      <c r="G15" s="94"/>
      <c r="H15" s="6"/>
      <c r="I15" s="42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</row>
    <row r="16" spans="1:24" ht="12.75">
      <c r="A16" s="6"/>
      <c r="B16" s="6"/>
      <c r="C16" s="6"/>
      <c r="D16" s="6"/>
      <c r="E16" s="6"/>
      <c r="F16" s="6"/>
      <c r="G16" s="6"/>
      <c r="H16" s="95"/>
      <c r="I16" s="95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</row>
    <row r="17" spans="1:24" ht="12.75">
      <c r="A17" s="6"/>
      <c r="B17" s="6"/>
      <c r="C17" s="6"/>
      <c r="D17" s="6"/>
      <c r="E17" s="6"/>
      <c r="F17" s="6"/>
      <c r="G17" s="6"/>
      <c r="H17" s="95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</row>
    <row r="18" spans="1:24" ht="12.75">
      <c r="A18" s="6"/>
      <c r="B18" s="6"/>
      <c r="C18" s="6"/>
      <c r="D18" s="6"/>
      <c r="E18" s="6"/>
      <c r="G18" s="49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</row>
    <row r="19" spans="1:24" ht="12.75">
      <c r="A19" s="6"/>
      <c r="B19" s="6"/>
      <c r="C19" s="6"/>
      <c r="D19" s="6"/>
      <c r="E19" s="6"/>
      <c r="F19" s="6"/>
      <c r="G19" s="73"/>
      <c r="H19" s="6"/>
      <c r="I19" s="25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</row>
    <row r="20" spans="1:24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S20" s="6"/>
      <c r="T20" s="6"/>
      <c r="U20" s="6"/>
      <c r="V20" s="6"/>
      <c r="W20" s="6"/>
      <c r="X20" s="6"/>
    </row>
    <row r="21" spans="1:24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S21" s="6"/>
      <c r="T21" s="6"/>
      <c r="U21" s="6"/>
      <c r="V21" s="6"/>
      <c r="W21" s="6"/>
      <c r="X21" s="6"/>
    </row>
    <row r="22" spans="1:24" ht="12.75">
      <c r="A22" s="6"/>
      <c r="B22" s="6"/>
      <c r="C22" s="6"/>
      <c r="D22" s="6"/>
      <c r="E22" s="6"/>
      <c r="F22" s="6"/>
      <c r="G22" s="84"/>
      <c r="H22" s="87"/>
      <c r="I22" s="87"/>
      <c r="J22" s="6"/>
      <c r="K22" s="6"/>
      <c r="L22" s="6"/>
      <c r="M22" s="6"/>
      <c r="N22" s="6"/>
      <c r="O22" s="6"/>
      <c r="P22" s="6"/>
      <c r="Q22" s="6"/>
      <c r="S22" s="6"/>
      <c r="T22" s="6"/>
      <c r="U22" s="6"/>
      <c r="V22" s="6"/>
      <c r="W22" s="6"/>
      <c r="X22" s="6"/>
    </row>
    <row r="23" spans="1:24" ht="12.75">
      <c r="A23" s="6"/>
      <c r="B23" s="6"/>
      <c r="C23" s="6"/>
      <c r="D23" s="6"/>
      <c r="E23" s="6"/>
      <c r="F23" s="6"/>
      <c r="G23" s="88"/>
      <c r="H23" s="6"/>
      <c r="I23" s="6"/>
      <c r="J23" s="6"/>
      <c r="K23" s="6"/>
      <c r="L23" s="6"/>
      <c r="M23" s="6"/>
      <c r="N23" s="6"/>
      <c r="O23" s="6"/>
      <c r="P23" s="6"/>
      <c r="Q23" s="6"/>
      <c r="R23" s="12"/>
      <c r="S23" s="6"/>
      <c r="T23" s="6"/>
      <c r="U23" s="6"/>
      <c r="V23" s="6"/>
      <c r="W23" s="6"/>
      <c r="X23" s="6"/>
    </row>
    <row r="24" spans="1:24" ht="12.75">
      <c r="A24" s="6"/>
      <c r="B24" s="6"/>
      <c r="C24" s="6"/>
      <c r="D24" s="6"/>
      <c r="E24" s="6"/>
      <c r="F24" s="6"/>
      <c r="G24" s="96"/>
      <c r="H24" s="6"/>
      <c r="I24" s="68"/>
      <c r="J24" s="6"/>
      <c r="K24" s="6"/>
      <c r="L24" s="6"/>
      <c r="M24" s="6"/>
      <c r="N24" s="6"/>
      <c r="O24" s="6"/>
      <c r="P24" s="6"/>
      <c r="Q24" s="6"/>
      <c r="S24" s="6"/>
      <c r="T24" s="6"/>
      <c r="U24" s="6"/>
      <c r="V24" s="6"/>
      <c r="W24" s="6"/>
      <c r="X24" s="6"/>
    </row>
    <row r="25" spans="1:24" ht="12.75">
      <c r="A25" s="6"/>
      <c r="B25" s="6"/>
      <c r="C25" s="6"/>
      <c r="D25" s="6"/>
      <c r="E25" s="6"/>
      <c r="F25" s="6"/>
      <c r="G25" s="97"/>
      <c r="H25" s="95"/>
      <c r="I25" s="68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</row>
    <row r="26" spans="1:24" ht="12.75">
      <c r="A26" s="6"/>
      <c r="B26" s="6"/>
      <c r="C26" s="6"/>
      <c r="D26" s="6"/>
      <c r="E26" s="6"/>
      <c r="F26" s="6"/>
      <c r="G26" s="95"/>
      <c r="H26" s="95"/>
      <c r="I26" s="6"/>
      <c r="J26" s="6"/>
      <c r="K26" s="6"/>
      <c r="L26" s="6"/>
      <c r="M26" s="6"/>
      <c r="N26" s="6"/>
      <c r="O26" s="6"/>
      <c r="P26" s="6"/>
      <c r="Q26" s="6"/>
      <c r="S26" s="116"/>
      <c r="U26" s="6"/>
      <c r="V26" s="6"/>
      <c r="W26" s="6"/>
      <c r="X26" s="6"/>
    </row>
    <row r="27" spans="1:24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</row>
    <row r="28" spans="1:24" ht="12.75">
      <c r="A28" s="6"/>
      <c r="B28" s="6"/>
      <c r="C28" s="6"/>
      <c r="D28" s="6"/>
      <c r="E28" s="6"/>
      <c r="F28" s="6"/>
      <c r="G28" s="7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</row>
    <row r="29" spans="1:24" ht="12.75">
      <c r="A29" s="402">
        <f>IF(N_init_réactif_2=0,"",IF((N_init_réactif_2/coef_réact_2)&lt;(N_init_réactif_1/coef_réact_1),"Le réactif titrant (thiosulfate) est limitant",""))</f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107"/>
      <c r="Q29" s="6"/>
      <c r="R29" s="6"/>
      <c r="S29" s="6"/>
      <c r="T29" s="6"/>
      <c r="U29" s="6"/>
      <c r="V29" s="6"/>
      <c r="W29" s="6"/>
      <c r="X29" s="6"/>
    </row>
    <row r="30" spans="1:24" ht="12.75" customHeight="1">
      <c r="A30" s="410">
        <f>IF((N_init_réactif_2/coef_réact_2)=(N_init_réactif_1/coef_réact_1),"Les réactifs titrant et titré sont intégralement consommés",IF((N_init_réactif_2/coef_réact_2)&gt;(N_init_réactif_1/coef_réact_1),"Le réactif titré (diiode) est devenu limitant",""))</f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</row>
    <row r="31" spans="1:24" ht="12.75" customHeight="1">
      <c r="A31" s="107">
        <f>IF((N_init_réactif_2/coef_réact_2)&lt;(N_init_réactif_1/coef_réact_1),"",IF((N_init_réactif_2/coef_réact_2)=(N_init_réactif_1/coef_réact_1),"l'équivalence est atteinte","l'équivalence est dépassée"))</f>
      </c>
      <c r="B31" s="6"/>
      <c r="C31" s="6"/>
      <c r="D31" s="6"/>
      <c r="E31" s="6"/>
      <c r="F31" s="6"/>
      <c r="G31" s="409">
        <f>IF((N_init_réactif_2/coef_réact_2)&gt;=(N_init_réactif_1/coef_réact_1),"        Xmax =","")</f>
      </c>
      <c r="I31" s="6"/>
      <c r="J31" s="117">
        <f>IF((N_init_réactif_2/coef_réact_2)&gt;=(N_init_réactif_1/coef_réact_1),Avancement,"")</f>
      </c>
      <c r="K31" s="6"/>
      <c r="L31" s="6"/>
      <c r="M31" s="6"/>
      <c r="N31" s="6"/>
      <c r="O31" s="6"/>
      <c r="P31" s="98"/>
      <c r="Q31" s="6"/>
      <c r="R31" s="99"/>
      <c r="S31" s="6"/>
      <c r="T31" s="6"/>
      <c r="U31" s="6"/>
      <c r="V31" s="6"/>
      <c r="W31" s="6"/>
      <c r="X31" s="6"/>
    </row>
    <row r="32" spans="1:26" s="61" customFormat="1" ht="20.25" customHeight="1">
      <c r="A32" s="60"/>
      <c r="B32" s="60"/>
      <c r="C32" s="60"/>
      <c r="D32" s="60"/>
      <c r="E32" s="421"/>
      <c r="F32" s="421"/>
      <c r="G32" s="421"/>
      <c r="H32" s="421"/>
      <c r="I32" s="421"/>
      <c r="J32" s="101"/>
      <c r="K32" s="101"/>
      <c r="L32" s="101"/>
      <c r="M32" s="101"/>
      <c r="N32" s="101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</row>
    <row r="33" spans="1:24" ht="18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</row>
    <row r="34" spans="1:24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</row>
    <row r="35" spans="1:24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7"/>
      <c r="T35" s="6"/>
      <c r="U35" s="6"/>
      <c r="V35" s="6"/>
      <c r="W35" s="6"/>
      <c r="X35" s="6"/>
    </row>
    <row r="36" spans="1:24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</row>
    <row r="37" spans="1:24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</row>
    <row r="38" spans="1:24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1:24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</row>
    <row r="40" spans="1:24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</row>
    <row r="41" spans="1:24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</row>
    <row r="42" spans="1:24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</row>
    <row r="43" spans="1:24" ht="12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</row>
    <row r="44" spans="1:24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</row>
    <row r="45" spans="1:24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</row>
    <row r="46" spans="1:24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</row>
    <row r="47" spans="1:24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</row>
    <row r="48" spans="1:24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</row>
    <row r="49" spans="1:24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</row>
    <row r="50" spans="1:24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</row>
    <row r="51" spans="1:24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</row>
    <row r="52" spans="1:24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</row>
    <row r="53" spans="1:24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</row>
    <row r="54" spans="1:24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</row>
    <row r="55" spans="1:24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</row>
    <row r="56" spans="1:24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</row>
    <row r="57" spans="1:24" ht="12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</row>
    <row r="58" spans="1:24" ht="12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</row>
  </sheetData>
  <conditionalFormatting sqref="B11:C11">
    <cfRule type="expression" priority="1" dxfId="1" stopIfTrue="1">
      <formula>$B$11="Xmax="</formula>
    </cfRule>
  </conditionalFormatting>
  <conditionalFormatting sqref="G10">
    <cfRule type="expression" priority="2" dxfId="1" stopIfTrue="1">
      <formula>$G$10="Xmax ="</formula>
    </cfRule>
  </conditionalFormatting>
  <conditionalFormatting sqref="N10:O10">
    <cfRule type="expression" priority="3" dxfId="1" stopIfTrue="1">
      <formula>$N$10="2 Xmax="</formula>
    </cfRule>
  </conditionalFormatting>
  <conditionalFormatting sqref="R10:S10">
    <cfRule type="expression" priority="4" dxfId="1" stopIfTrue="1">
      <formula>$S$10="Xmax="</formula>
    </cfRule>
  </conditionalFormatting>
  <conditionalFormatting sqref="V10">
    <cfRule type="expression" priority="5" dxfId="1" stopIfTrue="1">
      <formula>$V$10="Xmax="</formula>
    </cfRule>
  </conditionalFormatting>
  <conditionalFormatting sqref="A29:A30 P29">
    <cfRule type="cellIs" priority="6" dxfId="2" operator="equal" stopIfTrue="1">
      <formula>$A$29</formula>
    </cfRule>
  </conditionalFormatting>
  <printOptions/>
  <pageMargins left="0.75" right="0.75" top="1" bottom="1" header="0.4921259845" footer="0.4921259845"/>
  <pageSetup orientation="landscape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LJP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 SEAC'H</dc:creator>
  <cp:keywords/>
  <dc:description/>
  <cp:lastModifiedBy>LE SEAC'H</cp:lastModifiedBy>
  <cp:lastPrinted>2000-11-12T09:45:24Z</cp:lastPrinted>
  <dcterms:created xsi:type="dcterms:W3CDTF">1999-09-19T20:07:43Z</dcterms:created>
  <dcterms:modified xsi:type="dcterms:W3CDTF">2001-07-02T13:02:09Z</dcterms:modified>
  <cp:category/>
  <cp:version/>
  <cp:contentType/>
  <cp:contentStatus/>
</cp:coreProperties>
</file>